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2_ncr:500000_{625AC301-BEA8-49D0-A309-1D36D8102C55}" xr6:coauthVersionLast="31" xr6:coauthVersionMax="31" xr10:uidLastSave="{00000000-0000-0000-0000-000000000000}"/>
  <bookViews>
    <workbookView xWindow="240" yWindow="105" windowWidth="14805" windowHeight="8010" tabRatio="674" firstSheet="9" activeTab="14" xr2:uid="{00000000-000D-0000-FFFF-FFFF00000000}"/>
  </bookViews>
  <sheets>
    <sheet name="MATCH VEAUCHE 22102017" sheetId="1" r:id="rId1"/>
    <sheet name="MATCH SGOF 12112017" sheetId="2" r:id="rId2"/>
    <sheet name="MATCH REVERMONT" sheetId="3" r:id="rId3"/>
    <sheet name="MATCH LE COTEAU" sheetId="5" r:id="rId4"/>
    <sheet name="MATCH MEYZIEU" sheetId="6" r:id="rId5"/>
    <sheet name="MATCH VEAUCHE" sheetId="4" r:id="rId6"/>
    <sheet name="MATCH AS MUROISE" sheetId="7" r:id="rId7"/>
    <sheet name="MATCH CTC CENTRE LOIRE" sheetId="8" r:id="rId8"/>
    <sheet name="MATCH CALUIRE" sheetId="9" r:id="rId9"/>
    <sheet name="MATCH LE PUY" sheetId="10" r:id="rId10"/>
    <sheet name="MATCH NEUVILLE" sheetId="11" r:id="rId11"/>
    <sheet name="MATCH MUROISE" sheetId="12" r:id="rId12"/>
    <sheet name="MATCH CTC LOIRE" sheetId="13" r:id="rId13"/>
    <sheet name="MATCH AL CALUIRE" sheetId="14" r:id="rId14"/>
    <sheet name="MATCH LE PUY EN VELAY" sheetId="15" r:id="rId15"/>
  </sheets>
  <calcPr calcId="162913"/>
  <fileRecoveryPr autoRecover="0"/>
</workbook>
</file>

<file path=xl/calcChain.xml><?xml version="1.0" encoding="utf-8"?>
<calcChain xmlns="http://schemas.openxmlformats.org/spreadsheetml/2006/main">
  <c r="AP18" i="15" l="1"/>
  <c r="AP19" i="15"/>
  <c r="AO19" i="15"/>
  <c r="AO18" i="15"/>
  <c r="AN19" i="15"/>
  <c r="AN18" i="15"/>
  <c r="AG18" i="15"/>
  <c r="AF18" i="15"/>
  <c r="AE18" i="15"/>
  <c r="X18" i="15"/>
  <c r="W18" i="15"/>
  <c r="V18" i="15"/>
  <c r="O18" i="15"/>
  <c r="N18" i="15"/>
  <c r="M18" i="15"/>
  <c r="E18" i="15"/>
  <c r="F18" i="15"/>
  <c r="D18" i="15"/>
  <c r="AO14" i="15"/>
  <c r="AP14" i="15"/>
  <c r="AF14" i="15"/>
  <c r="X14" i="15"/>
  <c r="N14" i="15"/>
  <c r="F14" i="15"/>
  <c r="E14" i="15"/>
  <c r="AO15" i="15"/>
  <c r="N15" i="15"/>
  <c r="AO13" i="15"/>
  <c r="AN13" i="15"/>
  <c r="AF13" i="15"/>
  <c r="AE13" i="15"/>
  <c r="W13" i="15"/>
  <c r="D13" i="15"/>
  <c r="AP12" i="15"/>
  <c r="AO12" i="15"/>
  <c r="AG12" i="15"/>
  <c r="X12" i="15"/>
  <c r="N12" i="15"/>
  <c r="AP11" i="15"/>
  <c r="AO11" i="15"/>
  <c r="AN11" i="15"/>
  <c r="AF11" i="15"/>
  <c r="V11" i="15"/>
  <c r="W11" i="15"/>
  <c r="O11" i="15"/>
  <c r="N11" i="15"/>
  <c r="M11" i="15"/>
  <c r="E11" i="15"/>
  <c r="F11" i="15"/>
  <c r="AO10" i="15"/>
  <c r="AN10" i="15"/>
  <c r="W10" i="15"/>
  <c r="M10" i="15"/>
  <c r="AP9" i="15"/>
  <c r="AO9" i="15"/>
  <c r="AN9" i="15"/>
  <c r="AE9" i="15"/>
  <c r="AG9" i="15"/>
  <c r="AF9" i="15"/>
  <c r="W9" i="15"/>
  <c r="N9" i="15"/>
  <c r="D9" i="15"/>
  <c r="F9" i="15"/>
  <c r="E9" i="15"/>
  <c r="AO8" i="15"/>
  <c r="AP8" i="15"/>
  <c r="AN8" i="15"/>
  <c r="V8" i="15"/>
  <c r="W8" i="15"/>
  <c r="O8" i="15"/>
  <c r="N8" i="15"/>
  <c r="E8" i="15"/>
  <c r="AO7" i="15"/>
  <c r="AF7" i="15"/>
  <c r="W7" i="15"/>
  <c r="N7" i="15"/>
  <c r="E7" i="15"/>
  <c r="AG19" i="15"/>
  <c r="X19" i="15"/>
  <c r="X20" i="15"/>
  <c r="O19" i="15"/>
  <c r="O20" i="15"/>
  <c r="F19" i="15"/>
  <c r="W2" i="15"/>
  <c r="AL18" i="15"/>
  <c r="AK18" i="15"/>
  <c r="AJ18" i="15"/>
  <c r="AI18" i="15"/>
  <c r="AH18" i="15"/>
  <c r="AD18" i="15"/>
  <c r="AC18" i="15"/>
  <c r="AB18" i="15"/>
  <c r="AA18" i="15"/>
  <c r="Z18" i="15"/>
  <c r="Y18" i="15"/>
  <c r="U18" i="15"/>
  <c r="T18" i="15"/>
  <c r="S18" i="15"/>
  <c r="R18" i="15"/>
  <c r="Q18" i="15"/>
  <c r="P18" i="15"/>
  <c r="L18" i="15"/>
  <c r="K18" i="15"/>
  <c r="J18" i="15"/>
  <c r="I18" i="15"/>
  <c r="H18" i="15"/>
  <c r="G18" i="15"/>
  <c r="C18" i="15"/>
  <c r="AV17" i="15"/>
  <c r="AU17" i="15"/>
  <c r="AS17" i="15"/>
  <c r="AR17" i="15"/>
  <c r="AT17" i="15" s="1"/>
  <c r="AQ17" i="15"/>
  <c r="AM17" i="15"/>
  <c r="AV16" i="15"/>
  <c r="AU16" i="15"/>
  <c r="AT16" i="15"/>
  <c r="AS16" i="15"/>
  <c r="AR16" i="15"/>
  <c r="AQ16" i="15"/>
  <c r="AM16" i="15"/>
  <c r="AV15" i="15"/>
  <c r="AU15" i="15"/>
  <c r="AS15" i="15"/>
  <c r="AT15" i="15" s="1"/>
  <c r="AR15" i="15"/>
  <c r="AQ15" i="15"/>
  <c r="AM15" i="15"/>
  <c r="AV14" i="15"/>
  <c r="AU14" i="15"/>
  <c r="AS14" i="15"/>
  <c r="AR14" i="15"/>
  <c r="AQ14" i="15"/>
  <c r="AM14" i="15"/>
  <c r="AV13" i="15"/>
  <c r="AU13" i="15"/>
  <c r="AS13" i="15"/>
  <c r="AR13" i="15"/>
  <c r="AQ13" i="15"/>
  <c r="AM13" i="15"/>
  <c r="AV12" i="15"/>
  <c r="AU12" i="15"/>
  <c r="AS12" i="15"/>
  <c r="AR12" i="15"/>
  <c r="AQ12" i="15"/>
  <c r="AM12" i="15"/>
  <c r="AV11" i="15"/>
  <c r="AU11" i="15"/>
  <c r="AS11" i="15"/>
  <c r="AR11" i="15"/>
  <c r="AQ11" i="15"/>
  <c r="AM11" i="15"/>
  <c r="AV10" i="15"/>
  <c r="AU10" i="15"/>
  <c r="AS10" i="15"/>
  <c r="AR10" i="15"/>
  <c r="AT10" i="15" s="1"/>
  <c r="AQ10" i="15"/>
  <c r="AM10" i="15"/>
  <c r="AV9" i="15"/>
  <c r="AU9" i="15"/>
  <c r="AS9" i="15"/>
  <c r="AR9" i="15"/>
  <c r="AQ9" i="15"/>
  <c r="AM9" i="15"/>
  <c r="AV8" i="15"/>
  <c r="AU8" i="15"/>
  <c r="AS8" i="15"/>
  <c r="AR8" i="15"/>
  <c r="AQ8" i="15"/>
  <c r="AM8" i="15"/>
  <c r="AV7" i="15"/>
  <c r="AU7" i="15"/>
  <c r="AS7" i="15"/>
  <c r="AR7" i="15"/>
  <c r="AQ7" i="15"/>
  <c r="AM7" i="15"/>
  <c r="AM18" i="15" l="1"/>
  <c r="AT9" i="15"/>
  <c r="AR18" i="15"/>
  <c r="AT8" i="15"/>
  <c r="AT13" i="15"/>
  <c r="AT11" i="15"/>
  <c r="AV18" i="15"/>
  <c r="AQ18" i="15"/>
  <c r="AU18" i="15"/>
  <c r="AT12" i="15"/>
  <c r="AT14" i="15"/>
  <c r="AS18" i="15"/>
  <c r="AT7" i="15"/>
  <c r="AN19" i="14"/>
  <c r="AN18" i="14"/>
  <c r="AN8" i="14"/>
  <c r="AP19" i="14"/>
  <c r="AP18" i="14"/>
  <c r="AO19" i="14"/>
  <c r="AO18" i="14"/>
  <c r="AF18" i="14"/>
  <c r="AE18" i="14"/>
  <c r="AG18" i="14"/>
  <c r="X18" i="14"/>
  <c r="W18" i="14"/>
  <c r="V18" i="14"/>
  <c r="O18" i="14"/>
  <c r="N18" i="14"/>
  <c r="M18" i="14"/>
  <c r="AO14" i="14"/>
  <c r="AN14" i="14"/>
  <c r="E18" i="14"/>
  <c r="D18" i="14"/>
  <c r="W14" i="14"/>
  <c r="N14" i="14"/>
  <c r="D14" i="14"/>
  <c r="E14" i="14"/>
  <c r="AO13" i="14"/>
  <c r="AN13" i="14"/>
  <c r="W13" i="14"/>
  <c r="M13" i="14"/>
  <c r="N13" i="14"/>
  <c r="AO12" i="14"/>
  <c r="W12" i="14"/>
  <c r="E12" i="14"/>
  <c r="AP11" i="14"/>
  <c r="AO11" i="14"/>
  <c r="AF11" i="14"/>
  <c r="X11" i="14"/>
  <c r="W11" i="14"/>
  <c r="N11" i="14"/>
  <c r="O11" i="14"/>
  <c r="E11" i="14"/>
  <c r="AO10" i="14"/>
  <c r="AN10" i="14"/>
  <c r="AF10" i="14"/>
  <c r="AE10" i="14"/>
  <c r="W10" i="14"/>
  <c r="M10" i="14"/>
  <c r="N10" i="14"/>
  <c r="E10" i="14"/>
  <c r="AP9" i="14"/>
  <c r="AO9" i="14"/>
  <c r="AN9" i="14"/>
  <c r="AF9" i="14"/>
  <c r="AG9" i="14"/>
  <c r="W9" i="14"/>
  <c r="N9" i="14"/>
  <c r="M9" i="14"/>
  <c r="E9" i="14"/>
  <c r="D9" i="14"/>
  <c r="AP8" i="14"/>
  <c r="AO8" i="14"/>
  <c r="AE8" i="14"/>
  <c r="AF8" i="14"/>
  <c r="V8" i="14"/>
  <c r="W8" i="14"/>
  <c r="O8" i="14"/>
  <c r="N8" i="14"/>
  <c r="M8" i="14"/>
  <c r="E8" i="14"/>
  <c r="AO7" i="14"/>
  <c r="AN7" i="14"/>
  <c r="AF7" i="14"/>
  <c r="W7" i="14"/>
  <c r="N7" i="14"/>
  <c r="D7" i="14"/>
  <c r="E7" i="14"/>
  <c r="AG19" i="14"/>
  <c r="X19" i="14"/>
  <c r="X20" i="14"/>
  <c r="O20" i="14"/>
  <c r="O19" i="14"/>
  <c r="F19" i="14"/>
  <c r="W2" i="14"/>
  <c r="AL18" i="14"/>
  <c r="AK18" i="14"/>
  <c r="AJ18" i="14"/>
  <c r="AI18" i="14"/>
  <c r="AH18" i="14"/>
  <c r="AD18" i="14"/>
  <c r="AC18" i="14"/>
  <c r="AB18" i="14"/>
  <c r="AA18" i="14"/>
  <c r="Z18" i="14"/>
  <c r="Y18" i="14"/>
  <c r="U18" i="14"/>
  <c r="T18" i="14"/>
  <c r="S18" i="14"/>
  <c r="R18" i="14"/>
  <c r="Q18" i="14"/>
  <c r="P18" i="14"/>
  <c r="L18" i="14"/>
  <c r="K18" i="14"/>
  <c r="J18" i="14"/>
  <c r="I18" i="14"/>
  <c r="H18" i="14"/>
  <c r="G18" i="14"/>
  <c r="C18" i="14"/>
  <c r="AV17" i="14"/>
  <c r="AU17" i="14"/>
  <c r="AS17" i="14"/>
  <c r="AT17" i="14" s="1"/>
  <c r="AR17" i="14"/>
  <c r="AQ17" i="14"/>
  <c r="AM17" i="14"/>
  <c r="AV16" i="14"/>
  <c r="AU16" i="14"/>
  <c r="AS16" i="14"/>
  <c r="AR16" i="14"/>
  <c r="AT16" i="14" s="1"/>
  <c r="AQ16" i="14"/>
  <c r="AM16" i="14"/>
  <c r="AV15" i="14"/>
  <c r="AU15" i="14"/>
  <c r="AS15" i="14"/>
  <c r="AR15" i="14"/>
  <c r="AT15" i="14" s="1"/>
  <c r="AQ15" i="14"/>
  <c r="AM15" i="14"/>
  <c r="AV14" i="14"/>
  <c r="AU14" i="14"/>
  <c r="AS14" i="14"/>
  <c r="AR14" i="14"/>
  <c r="AQ14" i="14"/>
  <c r="AM14" i="14"/>
  <c r="AV13" i="14"/>
  <c r="AU13" i="14"/>
  <c r="AS13" i="14"/>
  <c r="AR13" i="14"/>
  <c r="AQ13" i="14"/>
  <c r="AM13" i="14"/>
  <c r="AV12" i="14"/>
  <c r="AU12" i="14"/>
  <c r="AS12" i="14"/>
  <c r="AR12" i="14"/>
  <c r="AQ12" i="14"/>
  <c r="AM12" i="14"/>
  <c r="AV11" i="14"/>
  <c r="AU11" i="14"/>
  <c r="AS11" i="14"/>
  <c r="AR11" i="14"/>
  <c r="AQ11" i="14"/>
  <c r="AM11" i="14"/>
  <c r="AV10" i="14"/>
  <c r="AU10" i="14"/>
  <c r="AS10" i="14"/>
  <c r="AR10" i="14"/>
  <c r="AQ10" i="14"/>
  <c r="AM10" i="14"/>
  <c r="AV9" i="14"/>
  <c r="AU9" i="14"/>
  <c r="AS9" i="14"/>
  <c r="AR9" i="14"/>
  <c r="AQ9" i="14"/>
  <c r="AM9" i="14"/>
  <c r="AV8" i="14"/>
  <c r="AU8" i="14"/>
  <c r="AS8" i="14"/>
  <c r="AR8" i="14"/>
  <c r="AQ8" i="14"/>
  <c r="AM8" i="14"/>
  <c r="AV7" i="14"/>
  <c r="AU7" i="14"/>
  <c r="AS7" i="14"/>
  <c r="AR7" i="14"/>
  <c r="AQ7" i="14"/>
  <c r="AM7" i="14"/>
  <c r="AT18" i="15" l="1"/>
  <c r="AT14" i="14"/>
  <c r="AM18" i="14"/>
  <c r="AT13" i="14"/>
  <c r="AR18" i="14"/>
  <c r="AT8" i="14"/>
  <c r="AT10" i="14"/>
  <c r="AT11" i="14"/>
  <c r="AU18" i="14"/>
  <c r="AV18" i="14"/>
  <c r="AT9" i="14"/>
  <c r="AQ18" i="14"/>
  <c r="AT12" i="14"/>
  <c r="AS18" i="14"/>
  <c r="AT7" i="14"/>
  <c r="AO19" i="13"/>
  <c r="AN19" i="13"/>
  <c r="AP18" i="13"/>
  <c r="AO18" i="13"/>
  <c r="AN18" i="13"/>
  <c r="AF18" i="13"/>
  <c r="AE18" i="13"/>
  <c r="W18" i="13"/>
  <c r="V18" i="13"/>
  <c r="O18" i="13"/>
  <c r="N18" i="13"/>
  <c r="M18" i="13"/>
  <c r="F18" i="13"/>
  <c r="E18" i="13"/>
  <c r="D18" i="13"/>
  <c r="AP12" i="13"/>
  <c r="AO12" i="13"/>
  <c r="AN12" i="13"/>
  <c r="AF12" i="13"/>
  <c r="W12" i="13"/>
  <c r="V12" i="13"/>
  <c r="O12" i="13"/>
  <c r="N12" i="13"/>
  <c r="M12" i="13"/>
  <c r="F12" i="13"/>
  <c r="AP11" i="13"/>
  <c r="AO11" i="13"/>
  <c r="AN11" i="13"/>
  <c r="V11" i="13"/>
  <c r="M11" i="13"/>
  <c r="O11" i="13"/>
  <c r="E11" i="13"/>
  <c r="D11" i="13"/>
  <c r="F11" i="13"/>
  <c r="AO10" i="13"/>
  <c r="AN10" i="13"/>
  <c r="AF10" i="13"/>
  <c r="AE10" i="13"/>
  <c r="W10" i="13"/>
  <c r="N10" i="13"/>
  <c r="M10" i="13"/>
  <c r="E10" i="13"/>
  <c r="AO9" i="13"/>
  <c r="AN9" i="13"/>
  <c r="AF9" i="13"/>
  <c r="AE9" i="13"/>
  <c r="W9" i="13"/>
  <c r="M9" i="13"/>
  <c r="N9" i="13"/>
  <c r="D9" i="13"/>
  <c r="E9" i="13"/>
  <c r="AO8" i="13"/>
  <c r="AF8" i="13"/>
  <c r="W8" i="13"/>
  <c r="N8" i="13"/>
  <c r="E8" i="13"/>
  <c r="AO7" i="13"/>
  <c r="AN7" i="13"/>
  <c r="AF7" i="13"/>
  <c r="AE7" i="13"/>
  <c r="V7" i="13"/>
  <c r="W7" i="13"/>
  <c r="E7" i="13"/>
  <c r="AG19" i="13"/>
  <c r="X20" i="13"/>
  <c r="X19" i="13"/>
  <c r="O20" i="13"/>
  <c r="O19" i="13"/>
  <c r="F19" i="13"/>
  <c r="AL18" i="13"/>
  <c r="AK18" i="13"/>
  <c r="AJ18" i="13"/>
  <c r="AI18" i="13"/>
  <c r="AH18" i="13"/>
  <c r="AD18" i="13"/>
  <c r="AC18" i="13"/>
  <c r="AB18" i="13"/>
  <c r="AA18" i="13"/>
  <c r="Z18" i="13"/>
  <c r="Y18" i="13"/>
  <c r="U18" i="13"/>
  <c r="T18" i="13"/>
  <c r="S18" i="13"/>
  <c r="R18" i="13"/>
  <c r="Q18" i="13"/>
  <c r="P18" i="13"/>
  <c r="L18" i="13"/>
  <c r="K18" i="13"/>
  <c r="J18" i="13"/>
  <c r="I18" i="13"/>
  <c r="H18" i="13"/>
  <c r="G18" i="13"/>
  <c r="C18" i="13"/>
  <c r="AV17" i="13"/>
  <c r="AU17" i="13"/>
  <c r="AS17" i="13"/>
  <c r="AR17" i="13"/>
  <c r="AT17" i="13" s="1"/>
  <c r="AQ17" i="13"/>
  <c r="AM17" i="13"/>
  <c r="AV16" i="13"/>
  <c r="AU16" i="13"/>
  <c r="AS16" i="13"/>
  <c r="AR16" i="13"/>
  <c r="AQ16" i="13"/>
  <c r="AM16" i="13"/>
  <c r="AV15" i="13"/>
  <c r="AU15" i="13"/>
  <c r="AS15" i="13"/>
  <c r="AR15" i="13"/>
  <c r="AQ15" i="13"/>
  <c r="AM15" i="13"/>
  <c r="AV14" i="13"/>
  <c r="AU14" i="13"/>
  <c r="AS14" i="13"/>
  <c r="AR14" i="13"/>
  <c r="AQ14" i="13"/>
  <c r="AM14" i="13"/>
  <c r="AV13" i="13"/>
  <c r="AU13" i="13"/>
  <c r="AS13" i="13"/>
  <c r="AR13" i="13"/>
  <c r="AQ13" i="13"/>
  <c r="AM13" i="13"/>
  <c r="AV12" i="13"/>
  <c r="AU12" i="13"/>
  <c r="AS12" i="13"/>
  <c r="AR12" i="13"/>
  <c r="AQ12" i="13"/>
  <c r="AM12" i="13"/>
  <c r="AV11" i="13"/>
  <c r="AU11" i="13"/>
  <c r="AS11" i="13"/>
  <c r="AR11" i="13"/>
  <c r="AQ11" i="13"/>
  <c r="AM11" i="13"/>
  <c r="AV10" i="13"/>
  <c r="AU10" i="13"/>
  <c r="AS10" i="13"/>
  <c r="AR10" i="13"/>
  <c r="AT10" i="13" s="1"/>
  <c r="AQ10" i="13"/>
  <c r="AM10" i="13"/>
  <c r="AV9" i="13"/>
  <c r="AU9" i="13"/>
  <c r="AS9" i="13"/>
  <c r="AR9" i="13"/>
  <c r="AT9" i="13" s="1"/>
  <c r="AQ9" i="13"/>
  <c r="AM9" i="13"/>
  <c r="AV8" i="13"/>
  <c r="AU8" i="13"/>
  <c r="AS8" i="13"/>
  <c r="AR8" i="13"/>
  <c r="AQ8" i="13"/>
  <c r="AM8" i="13"/>
  <c r="AV7" i="13"/>
  <c r="AU7" i="13"/>
  <c r="AS7" i="13"/>
  <c r="AR7" i="13"/>
  <c r="AQ7" i="13"/>
  <c r="AM7" i="13"/>
  <c r="AT18" i="14" l="1"/>
  <c r="AT11" i="13"/>
  <c r="AT8" i="13"/>
  <c r="AT13" i="13"/>
  <c r="AT16" i="13"/>
  <c r="AM18" i="13"/>
  <c r="AS18" i="13"/>
  <c r="AT15" i="13"/>
  <c r="AT12" i="13"/>
  <c r="AU18" i="13"/>
  <c r="AT14" i="13"/>
  <c r="AV18" i="13"/>
  <c r="AQ18" i="13"/>
  <c r="AR18" i="13"/>
  <c r="AT7" i="13"/>
  <c r="W2" i="12"/>
  <c r="AP19" i="12"/>
  <c r="AO19" i="12"/>
  <c r="AN19" i="12"/>
  <c r="AP18" i="12"/>
  <c r="AO18" i="12"/>
  <c r="AN18" i="12"/>
  <c r="AG19" i="12"/>
  <c r="AG18" i="12"/>
  <c r="AF18" i="12"/>
  <c r="X19" i="12"/>
  <c r="X20" i="12"/>
  <c r="X18" i="12"/>
  <c r="W18" i="12"/>
  <c r="V18" i="12"/>
  <c r="N18" i="12"/>
  <c r="O18" i="12"/>
  <c r="M18" i="12"/>
  <c r="O19" i="12"/>
  <c r="O20" i="12"/>
  <c r="F19" i="12"/>
  <c r="F18" i="12"/>
  <c r="E18" i="12"/>
  <c r="D18" i="12"/>
  <c r="AP14" i="12"/>
  <c r="AO14" i="12"/>
  <c r="AF14" i="12"/>
  <c r="W14" i="12"/>
  <c r="X14" i="12"/>
  <c r="O14" i="12"/>
  <c r="N14" i="12"/>
  <c r="E14" i="12"/>
  <c r="AO15" i="12"/>
  <c r="N15" i="12"/>
  <c r="AO13" i="12"/>
  <c r="W13" i="12"/>
  <c r="N13" i="12"/>
  <c r="AP11" i="12"/>
  <c r="AO11" i="12"/>
  <c r="AF11" i="12"/>
  <c r="AG11" i="12"/>
  <c r="W11" i="12"/>
  <c r="O11" i="12"/>
  <c r="N11" i="12"/>
  <c r="E11" i="12"/>
  <c r="AP10" i="12"/>
  <c r="AO10" i="12"/>
  <c r="AN10" i="12"/>
  <c r="AF10" i="12"/>
  <c r="V10" i="12"/>
  <c r="W10" i="12"/>
  <c r="F10" i="12"/>
  <c r="E10" i="12"/>
  <c r="AO9" i="12"/>
  <c r="AP9" i="12"/>
  <c r="AN9" i="12"/>
  <c r="AF9" i="12"/>
  <c r="W9" i="12"/>
  <c r="X9" i="12"/>
  <c r="V9" i="12"/>
  <c r="N9" i="12"/>
  <c r="M9" i="12"/>
  <c r="E9" i="12"/>
  <c r="D9" i="12"/>
  <c r="F9" i="12"/>
  <c r="AO8" i="12"/>
  <c r="AN8" i="12"/>
  <c r="AF8" i="12"/>
  <c r="V8" i="12"/>
  <c r="W8" i="12"/>
  <c r="E8" i="12"/>
  <c r="AO7" i="12"/>
  <c r="AF7" i="12"/>
  <c r="W7" i="12"/>
  <c r="N7" i="12"/>
  <c r="E7" i="12"/>
  <c r="AL18" i="12"/>
  <c r="AK18" i="12"/>
  <c r="AJ18" i="12"/>
  <c r="AI18" i="12"/>
  <c r="AH18" i="12"/>
  <c r="AD18" i="12"/>
  <c r="AC18" i="12"/>
  <c r="AB18" i="12"/>
  <c r="AA18" i="12"/>
  <c r="Z18" i="12"/>
  <c r="Y18" i="12"/>
  <c r="U18" i="12"/>
  <c r="T18" i="12"/>
  <c r="S18" i="12"/>
  <c r="R18" i="12"/>
  <c r="Q18" i="12"/>
  <c r="P18" i="12"/>
  <c r="L18" i="12"/>
  <c r="K18" i="12"/>
  <c r="J18" i="12"/>
  <c r="I18" i="12"/>
  <c r="H18" i="12"/>
  <c r="G18" i="12"/>
  <c r="C18" i="12"/>
  <c r="AV17" i="12"/>
  <c r="AU17" i="12"/>
  <c r="AS17" i="12"/>
  <c r="AR17" i="12"/>
  <c r="AT17" i="12" s="1"/>
  <c r="AQ17" i="12"/>
  <c r="AM17" i="12"/>
  <c r="AV16" i="12"/>
  <c r="AU16" i="12"/>
  <c r="AS16" i="12"/>
  <c r="AR16" i="12"/>
  <c r="AT16" i="12" s="1"/>
  <c r="AQ16" i="12"/>
  <c r="AM16" i="12"/>
  <c r="AV15" i="12"/>
  <c r="AU15" i="12"/>
  <c r="AS15" i="12"/>
  <c r="AR15" i="12"/>
  <c r="AQ15" i="12"/>
  <c r="AM15" i="12"/>
  <c r="AV14" i="12"/>
  <c r="AU14" i="12"/>
  <c r="AS14" i="12"/>
  <c r="AR14" i="12"/>
  <c r="AQ14" i="12"/>
  <c r="AM14" i="12"/>
  <c r="AV13" i="12"/>
  <c r="AU13" i="12"/>
  <c r="AS13" i="12"/>
  <c r="AR13" i="12"/>
  <c r="AQ13" i="12"/>
  <c r="AM13" i="12"/>
  <c r="AV12" i="12"/>
  <c r="AU12" i="12"/>
  <c r="AS12" i="12"/>
  <c r="AR12" i="12"/>
  <c r="AQ12" i="12"/>
  <c r="AM12" i="12"/>
  <c r="AV11" i="12"/>
  <c r="AU11" i="12"/>
  <c r="AS11" i="12"/>
  <c r="AR11" i="12"/>
  <c r="AT11" i="12" s="1"/>
  <c r="AQ11" i="12"/>
  <c r="AM11" i="12"/>
  <c r="AV10" i="12"/>
  <c r="AU10" i="12"/>
  <c r="AS10" i="12"/>
  <c r="AR10" i="12"/>
  <c r="AT10" i="12" s="1"/>
  <c r="AQ10" i="12"/>
  <c r="AM10" i="12"/>
  <c r="AV9" i="12"/>
  <c r="AU9" i="12"/>
  <c r="AS9" i="12"/>
  <c r="AR9" i="12"/>
  <c r="AQ9" i="12"/>
  <c r="AM9" i="12"/>
  <c r="AV8" i="12"/>
  <c r="AU8" i="12"/>
  <c r="AS8" i="12"/>
  <c r="AR8" i="12"/>
  <c r="AQ8" i="12"/>
  <c r="AM8" i="12"/>
  <c r="AV7" i="12"/>
  <c r="AU7" i="12"/>
  <c r="AS7" i="12"/>
  <c r="AR7" i="12"/>
  <c r="AQ7" i="12"/>
  <c r="AM7" i="12"/>
  <c r="AT18" i="13" l="1"/>
  <c r="AT15" i="12"/>
  <c r="AT13" i="12"/>
  <c r="AR18" i="12"/>
  <c r="AT9" i="12"/>
  <c r="AM18" i="12"/>
  <c r="AT8" i="12"/>
  <c r="AU18" i="12"/>
  <c r="AT12" i="12"/>
  <c r="AQ18" i="12"/>
  <c r="AV18" i="12"/>
  <c r="AT14" i="12"/>
  <c r="AS18" i="12"/>
  <c r="AT7" i="12"/>
  <c r="AR10" i="11"/>
  <c r="AS8" i="11"/>
  <c r="AR8" i="11"/>
  <c r="AS7" i="11"/>
  <c r="AR7" i="11"/>
  <c r="AT7" i="11"/>
  <c r="AO19" i="11"/>
  <c r="AN19" i="11"/>
  <c r="AO18" i="11"/>
  <c r="AP18" i="11"/>
  <c r="AN18" i="11"/>
  <c r="AF18" i="11"/>
  <c r="AE18" i="11"/>
  <c r="W18" i="11"/>
  <c r="V18" i="11"/>
  <c r="O18" i="11"/>
  <c r="N18" i="11"/>
  <c r="M18" i="11"/>
  <c r="E18" i="11"/>
  <c r="D18" i="11"/>
  <c r="AO13" i="11"/>
  <c r="E13" i="11"/>
  <c r="AO12" i="11"/>
  <c r="AN12" i="11"/>
  <c r="AF12" i="11"/>
  <c r="M12" i="11"/>
  <c r="N12" i="11"/>
  <c r="D12" i="11"/>
  <c r="E12" i="11"/>
  <c r="AO11" i="11"/>
  <c r="AN11" i="11"/>
  <c r="AE11" i="11"/>
  <c r="AF11" i="11"/>
  <c r="W11" i="11"/>
  <c r="M11" i="11"/>
  <c r="N11" i="11"/>
  <c r="E11" i="11"/>
  <c r="AO10" i="11"/>
  <c r="AN10" i="11"/>
  <c r="AF10" i="11"/>
  <c r="W10" i="11"/>
  <c r="V10" i="11"/>
  <c r="M10" i="11"/>
  <c r="N10" i="11"/>
  <c r="E10" i="11"/>
  <c r="AO9" i="11"/>
  <c r="AN9" i="11"/>
  <c r="AF9" i="11"/>
  <c r="AE9" i="11"/>
  <c r="N9" i="11"/>
  <c r="E9" i="11"/>
  <c r="AO8" i="11"/>
  <c r="AN8" i="11"/>
  <c r="AP8" i="11"/>
  <c r="AF8" i="11"/>
  <c r="V8" i="11"/>
  <c r="W8" i="11"/>
  <c r="M8" i="11"/>
  <c r="O8" i="11"/>
  <c r="N8" i="11"/>
  <c r="E8" i="11"/>
  <c r="AO7" i="11"/>
  <c r="AN7" i="11"/>
  <c r="AE7" i="11"/>
  <c r="AF7" i="11"/>
  <c r="W7" i="11"/>
  <c r="M7" i="11"/>
  <c r="N7" i="11"/>
  <c r="AG19" i="11"/>
  <c r="X19" i="11"/>
  <c r="O19" i="11"/>
  <c r="X20" i="11"/>
  <c r="O20" i="11"/>
  <c r="F19" i="11"/>
  <c r="W2" i="11"/>
  <c r="AL18" i="11"/>
  <c r="AK18" i="11"/>
  <c r="AJ18" i="11"/>
  <c r="AI18" i="11"/>
  <c r="AH18" i="11"/>
  <c r="AD18" i="11"/>
  <c r="AC18" i="11"/>
  <c r="AB18" i="11"/>
  <c r="AA18" i="11"/>
  <c r="Z18" i="11"/>
  <c r="Y18" i="11"/>
  <c r="U18" i="11"/>
  <c r="T18" i="11"/>
  <c r="S18" i="11"/>
  <c r="R18" i="11"/>
  <c r="Q18" i="11"/>
  <c r="P18" i="11"/>
  <c r="L18" i="11"/>
  <c r="K18" i="11"/>
  <c r="J18" i="11"/>
  <c r="I18" i="11"/>
  <c r="H18" i="11"/>
  <c r="G18" i="11"/>
  <c r="C18" i="11"/>
  <c r="AV17" i="11"/>
  <c r="AU17" i="11"/>
  <c r="AS17" i="11"/>
  <c r="AR17" i="11"/>
  <c r="AT17" i="11" s="1"/>
  <c r="AQ17" i="11"/>
  <c r="AM17" i="11"/>
  <c r="AV16" i="11"/>
  <c r="AU16" i="11"/>
  <c r="AS16" i="11"/>
  <c r="AR16" i="11"/>
  <c r="AQ16" i="11"/>
  <c r="AM16" i="11"/>
  <c r="AV15" i="11"/>
  <c r="AU15" i="11"/>
  <c r="AS15" i="11"/>
  <c r="AR15" i="11"/>
  <c r="AT15" i="11" s="1"/>
  <c r="AQ15" i="11"/>
  <c r="AM15" i="11"/>
  <c r="AV14" i="11"/>
  <c r="AU14" i="11"/>
  <c r="AS14" i="11"/>
  <c r="AR14" i="11"/>
  <c r="AQ14" i="11"/>
  <c r="AM14" i="11"/>
  <c r="AV13" i="11"/>
  <c r="AU13" i="11"/>
  <c r="AS13" i="11"/>
  <c r="AR13" i="11"/>
  <c r="AQ13" i="11"/>
  <c r="AM13" i="11"/>
  <c r="AV12" i="11"/>
  <c r="AU12" i="11"/>
  <c r="AS12" i="11"/>
  <c r="AR12" i="11"/>
  <c r="AQ12" i="11"/>
  <c r="AM12" i="11"/>
  <c r="AV11" i="11"/>
  <c r="AU11" i="11"/>
  <c r="AS11" i="11"/>
  <c r="AR11" i="11"/>
  <c r="AT11" i="11" s="1"/>
  <c r="AQ11" i="11"/>
  <c r="AM11" i="11"/>
  <c r="AV10" i="11"/>
  <c r="AU10" i="11"/>
  <c r="AS10" i="11"/>
  <c r="AQ10" i="11"/>
  <c r="AM10" i="11"/>
  <c r="AV9" i="11"/>
  <c r="AU9" i="11"/>
  <c r="AS9" i="11"/>
  <c r="AR9" i="11"/>
  <c r="AQ9" i="11"/>
  <c r="AM9" i="11"/>
  <c r="AV8" i="11"/>
  <c r="AU8" i="11"/>
  <c r="AQ8" i="11"/>
  <c r="AM8" i="11"/>
  <c r="AV7" i="11"/>
  <c r="AU7" i="11"/>
  <c r="AQ7" i="11"/>
  <c r="AM7" i="11"/>
  <c r="AT18" i="12" l="1"/>
  <c r="AT8" i="11"/>
  <c r="AT14" i="11"/>
  <c r="AT13" i="11"/>
  <c r="AR18" i="11"/>
  <c r="AT16" i="11"/>
  <c r="AM18" i="11"/>
  <c r="AS18" i="11"/>
  <c r="AU18" i="11"/>
  <c r="AQ18" i="11"/>
  <c r="AV18" i="11"/>
  <c r="AT9" i="11"/>
  <c r="AT10" i="11"/>
  <c r="AT12" i="11"/>
  <c r="AP19" i="10"/>
  <c r="AO19" i="10"/>
  <c r="AN19" i="10"/>
  <c r="AP18" i="10"/>
  <c r="AP9" i="10"/>
  <c r="AO18" i="10"/>
  <c r="AN18" i="10"/>
  <c r="AG18" i="10"/>
  <c r="AF18" i="10"/>
  <c r="AE18" i="10"/>
  <c r="X18" i="10"/>
  <c r="W18" i="10"/>
  <c r="V18" i="10"/>
  <c r="N18" i="10"/>
  <c r="F18" i="10"/>
  <c r="E18" i="10"/>
  <c r="D18" i="10"/>
  <c r="AO11" i="10"/>
  <c r="AO12" i="10"/>
  <c r="AF11" i="10"/>
  <c r="AG9" i="10"/>
  <c r="AO14" i="10"/>
  <c r="AF14" i="10"/>
  <c r="AP14" i="10"/>
  <c r="AP12" i="10"/>
  <c r="AP11" i="10"/>
  <c r="X11" i="10"/>
  <c r="W14" i="10"/>
  <c r="N14" i="10"/>
  <c r="E14" i="10"/>
  <c r="F14" i="10"/>
  <c r="AO13" i="10"/>
  <c r="AF13" i="10"/>
  <c r="N12" i="10"/>
  <c r="E12" i="10"/>
  <c r="F12" i="10"/>
  <c r="N11" i="10"/>
  <c r="E11" i="10"/>
  <c r="AO10" i="10"/>
  <c r="N10" i="10"/>
  <c r="E10" i="10"/>
  <c r="AN9" i="10"/>
  <c r="AE9" i="10"/>
  <c r="AO9" i="10"/>
  <c r="AF9" i="10"/>
  <c r="W9" i="10"/>
  <c r="N9" i="10"/>
  <c r="D9" i="10"/>
  <c r="F9" i="10"/>
  <c r="E9" i="10"/>
  <c r="AN8" i="10"/>
  <c r="AO8" i="10"/>
  <c r="AV9" i="10"/>
  <c r="AV10" i="10"/>
  <c r="AU9" i="10"/>
  <c r="AU10" i="10"/>
  <c r="AS9" i="10"/>
  <c r="AS10" i="10"/>
  <c r="AR9" i="10"/>
  <c r="AR10" i="10"/>
  <c r="AQ9" i="10"/>
  <c r="AV8" i="10"/>
  <c r="AU8" i="10"/>
  <c r="AS8" i="10"/>
  <c r="AR8" i="10"/>
  <c r="AQ8" i="10"/>
  <c r="AV9" i="8"/>
  <c r="AV8" i="8"/>
  <c r="AU8" i="8"/>
  <c r="AU7" i="8"/>
  <c r="AQ9" i="8"/>
  <c r="AQ8" i="8"/>
  <c r="AQ10" i="8"/>
  <c r="AQ8" i="7"/>
  <c r="AQ9" i="7"/>
  <c r="AS7" i="10"/>
  <c r="AR7" i="10"/>
  <c r="BB9" i="9"/>
  <c r="BA9" i="9"/>
  <c r="BB8" i="9"/>
  <c r="BA8" i="9"/>
  <c r="AR9" i="8"/>
  <c r="AS9" i="8"/>
  <c r="AS8" i="8"/>
  <c r="AR8" i="8"/>
  <c r="AR10" i="8"/>
  <c r="AR7" i="8"/>
  <c r="AS8" i="6"/>
  <c r="AR8" i="6"/>
  <c r="AT8" i="4"/>
  <c r="AS8" i="4"/>
  <c r="AR8" i="4"/>
  <c r="AR13" i="7"/>
  <c r="AT10" i="7"/>
  <c r="AS10" i="7"/>
  <c r="AR10" i="7"/>
  <c r="AT9" i="7"/>
  <c r="AS9" i="7"/>
  <c r="AR9" i="7"/>
  <c r="AS8" i="7"/>
  <c r="AR8" i="7"/>
  <c r="AT7" i="10"/>
  <c r="AE8" i="10"/>
  <c r="AF8" i="10"/>
  <c r="V8" i="10"/>
  <c r="W8" i="10"/>
  <c r="N8" i="10"/>
  <c r="E8" i="10"/>
  <c r="AO7" i="10"/>
  <c r="AF7" i="10"/>
  <c r="W7" i="10"/>
  <c r="N7" i="10"/>
  <c r="E7" i="10"/>
  <c r="AG19" i="10"/>
  <c r="X19" i="10"/>
  <c r="X20" i="10"/>
  <c r="O19" i="10"/>
  <c r="O20" i="10"/>
  <c r="F19" i="10"/>
  <c r="W2" i="10"/>
  <c r="AL18" i="10"/>
  <c r="AK18" i="10"/>
  <c r="AJ18" i="10"/>
  <c r="AI18" i="10"/>
  <c r="AH18" i="10"/>
  <c r="AD18" i="10"/>
  <c r="AC18" i="10"/>
  <c r="AB18" i="10"/>
  <c r="AA18" i="10"/>
  <c r="Z18" i="10"/>
  <c r="Y18" i="10"/>
  <c r="U18" i="10"/>
  <c r="T18" i="10"/>
  <c r="S18" i="10"/>
  <c r="R18" i="10"/>
  <c r="Q18" i="10"/>
  <c r="P18" i="10"/>
  <c r="L18" i="10"/>
  <c r="K18" i="10"/>
  <c r="J18" i="10"/>
  <c r="I18" i="10"/>
  <c r="H18" i="10"/>
  <c r="G18" i="10"/>
  <c r="C18" i="10"/>
  <c r="AV17" i="10"/>
  <c r="AU17" i="10"/>
  <c r="AT17" i="10"/>
  <c r="AS17" i="10"/>
  <c r="AR17" i="10"/>
  <c r="AQ17" i="10"/>
  <c r="AM17" i="10"/>
  <c r="AV16" i="10"/>
  <c r="AU16" i="10"/>
  <c r="AS16" i="10"/>
  <c r="AR16" i="10"/>
  <c r="AQ16" i="10"/>
  <c r="AM16" i="10"/>
  <c r="AV15" i="10"/>
  <c r="AU15" i="10"/>
  <c r="AS15" i="10"/>
  <c r="AR15" i="10"/>
  <c r="AQ15" i="10"/>
  <c r="AM15" i="10"/>
  <c r="AV14" i="10"/>
  <c r="AU14" i="10"/>
  <c r="AS14" i="10"/>
  <c r="AR14" i="10"/>
  <c r="AQ14" i="10"/>
  <c r="AM14" i="10"/>
  <c r="AV13" i="10"/>
  <c r="AU13" i="10"/>
  <c r="AS13" i="10"/>
  <c r="AR13" i="10"/>
  <c r="AQ13" i="10"/>
  <c r="AM13" i="10"/>
  <c r="AV12" i="10"/>
  <c r="AU12" i="10"/>
  <c r="AS12" i="10"/>
  <c r="AR12" i="10"/>
  <c r="AQ12" i="10"/>
  <c r="AM12" i="10"/>
  <c r="AV11" i="10"/>
  <c r="AU11" i="10"/>
  <c r="AS11" i="10"/>
  <c r="AR11" i="10"/>
  <c r="AT11" i="10" s="1"/>
  <c r="AQ11" i="10"/>
  <c r="AM11" i="10"/>
  <c r="AQ10" i="10"/>
  <c r="AM10" i="10"/>
  <c r="AM9" i="10"/>
  <c r="AM8" i="10"/>
  <c r="AV7" i="10"/>
  <c r="AU7" i="10"/>
  <c r="AQ7" i="10"/>
  <c r="AM7" i="10"/>
  <c r="AT18" i="11" l="1"/>
  <c r="AT12" i="10"/>
  <c r="AT9" i="10"/>
  <c r="AQ18" i="10"/>
  <c r="AV18" i="10"/>
  <c r="AT8" i="10"/>
  <c r="AT15" i="10"/>
  <c r="AR18" i="10"/>
  <c r="AT10" i="10"/>
  <c r="AT14" i="10"/>
  <c r="AM18" i="10"/>
  <c r="AU18" i="10"/>
  <c r="AT13" i="10"/>
  <c r="AT16" i="10"/>
  <c r="AS18" i="10"/>
  <c r="AY19" i="9"/>
  <c r="AX19" i="9"/>
  <c r="AW19" i="9"/>
  <c r="AW18" i="9"/>
  <c r="AY18" i="9"/>
  <c r="AX18" i="9"/>
  <c r="AY11" i="9"/>
  <c r="AX11" i="9"/>
  <c r="AW11" i="9"/>
  <c r="AX13" i="9"/>
  <c r="AW15" i="9"/>
  <c r="AP18" i="9"/>
  <c r="AO18" i="9"/>
  <c r="AN18" i="9"/>
  <c r="AG18" i="9"/>
  <c r="AF18" i="9"/>
  <c r="AE18" i="9"/>
  <c r="X18" i="9"/>
  <c r="W18" i="9"/>
  <c r="V18" i="9"/>
  <c r="N18" i="9"/>
  <c r="O18" i="9"/>
  <c r="M18" i="9"/>
  <c r="E18" i="9"/>
  <c r="F18" i="9"/>
  <c r="D18" i="9"/>
  <c r="AO11" i="9"/>
  <c r="AN11" i="9"/>
  <c r="M15" i="9"/>
  <c r="D15" i="9"/>
  <c r="W13" i="9"/>
  <c r="N13" i="9"/>
  <c r="AY12" i="9"/>
  <c r="AX12" i="9"/>
  <c r="AG12" i="9"/>
  <c r="O12" i="9"/>
  <c r="N12" i="9"/>
  <c r="AE11" i="9"/>
  <c r="AF11" i="9"/>
  <c r="AG11" i="9"/>
  <c r="W11" i="9"/>
  <c r="N11" i="9"/>
  <c r="F11" i="9"/>
  <c r="E11" i="9"/>
  <c r="AX10" i="9"/>
  <c r="AO10" i="9"/>
  <c r="AF10" i="9"/>
  <c r="N10" i="9"/>
  <c r="E10" i="9"/>
  <c r="AW9" i="9"/>
  <c r="AX9" i="9"/>
  <c r="AY9" i="9"/>
  <c r="AP9" i="9"/>
  <c r="AE9" i="9"/>
  <c r="AF9" i="9"/>
  <c r="V9" i="9"/>
  <c r="W9" i="9"/>
  <c r="X9" i="9"/>
  <c r="M9" i="9"/>
  <c r="N9" i="9"/>
  <c r="E9" i="9"/>
  <c r="D9" i="9"/>
  <c r="AX8" i="9"/>
  <c r="AW8" i="9"/>
  <c r="V8" i="9"/>
  <c r="W8" i="9"/>
  <c r="N8" i="9"/>
  <c r="E8" i="9"/>
  <c r="AX7" i="9"/>
  <c r="AW7" i="9"/>
  <c r="AO7" i="9"/>
  <c r="AE7" i="9"/>
  <c r="AF7" i="9"/>
  <c r="W7" i="9"/>
  <c r="N7" i="9"/>
  <c r="E7" i="9"/>
  <c r="BD17" i="9"/>
  <c r="BE17" i="9"/>
  <c r="BC17" i="9"/>
  <c r="BB17" i="9"/>
  <c r="BA17" i="9"/>
  <c r="AZ17" i="9"/>
  <c r="BE16" i="9"/>
  <c r="BD16" i="9"/>
  <c r="BB16" i="9"/>
  <c r="BA16" i="9"/>
  <c r="BC16" i="9" s="1"/>
  <c r="AZ16" i="9"/>
  <c r="BE15" i="9"/>
  <c r="BD15" i="9"/>
  <c r="BB15" i="9"/>
  <c r="BA15" i="9"/>
  <c r="BC15" i="9" s="1"/>
  <c r="AZ15" i="9"/>
  <c r="BE14" i="9"/>
  <c r="BD14" i="9"/>
  <c r="BB14" i="9"/>
  <c r="BA14" i="9"/>
  <c r="BC14" i="9" s="1"/>
  <c r="AZ14" i="9"/>
  <c r="BE13" i="9"/>
  <c r="BD13" i="9"/>
  <c r="BB13" i="9"/>
  <c r="BA13" i="9"/>
  <c r="BC13" i="9" s="1"/>
  <c r="AZ13" i="9"/>
  <c r="BE12" i="9"/>
  <c r="BD12" i="9"/>
  <c r="BB12" i="9"/>
  <c r="BA12" i="9"/>
  <c r="BC12" i="9" s="1"/>
  <c r="AZ12" i="9"/>
  <c r="BE11" i="9"/>
  <c r="BD11" i="9"/>
  <c r="BB11" i="9"/>
  <c r="BA11" i="9"/>
  <c r="AZ11" i="9"/>
  <c r="BE10" i="9"/>
  <c r="BD10" i="9"/>
  <c r="BB10" i="9"/>
  <c r="BA10" i="9"/>
  <c r="BC10" i="9" s="1"/>
  <c r="AZ10" i="9"/>
  <c r="BE9" i="9"/>
  <c r="BD9" i="9"/>
  <c r="BC9" i="9"/>
  <c r="AZ9" i="9"/>
  <c r="BE8" i="9"/>
  <c r="BD8" i="9"/>
  <c r="BC8" i="9"/>
  <c r="AZ8" i="9"/>
  <c r="BE7" i="9"/>
  <c r="BD7" i="9"/>
  <c r="BB7" i="9"/>
  <c r="BA7" i="9"/>
  <c r="BC7" i="9" s="1"/>
  <c r="AZ7" i="9"/>
  <c r="AV7" i="9"/>
  <c r="AV17" i="9"/>
  <c r="AV16" i="9"/>
  <c r="AV15" i="9"/>
  <c r="AV14" i="9"/>
  <c r="AV13" i="9"/>
  <c r="AV12" i="9"/>
  <c r="AV11" i="9"/>
  <c r="AV10" i="9"/>
  <c r="AV9" i="9"/>
  <c r="AV8" i="9"/>
  <c r="AP19" i="9"/>
  <c r="AG20" i="9"/>
  <c r="AG19" i="9"/>
  <c r="AU18" i="9"/>
  <c r="AT18" i="9"/>
  <c r="AS18" i="9"/>
  <c r="AR18" i="9"/>
  <c r="AQ18" i="9"/>
  <c r="AM18" i="9"/>
  <c r="AW42" i="9"/>
  <c r="AX42" i="9"/>
  <c r="AY42" i="9"/>
  <c r="AW43" i="9"/>
  <c r="AX43" i="9"/>
  <c r="AY43" i="9"/>
  <c r="X20" i="9"/>
  <c r="X19" i="9"/>
  <c r="O20" i="9"/>
  <c r="O19" i="9"/>
  <c r="F19" i="9"/>
  <c r="W2" i="9"/>
  <c r="AL18" i="9"/>
  <c r="AK18" i="9"/>
  <c r="AJ18" i="9"/>
  <c r="AI18" i="9"/>
  <c r="AH18" i="9"/>
  <c r="AD18" i="9"/>
  <c r="AC18" i="9"/>
  <c r="AB18" i="9"/>
  <c r="AA18" i="9"/>
  <c r="Z18" i="9"/>
  <c r="Y18" i="9"/>
  <c r="U18" i="9"/>
  <c r="T18" i="9"/>
  <c r="S18" i="9"/>
  <c r="R18" i="9"/>
  <c r="Q18" i="9"/>
  <c r="P18" i="9"/>
  <c r="L18" i="9"/>
  <c r="K18" i="9"/>
  <c r="J18" i="9"/>
  <c r="I18" i="9"/>
  <c r="H18" i="9"/>
  <c r="G18" i="9"/>
  <c r="C18" i="9"/>
  <c r="AT18" i="10" l="1"/>
  <c r="BC11" i="9"/>
  <c r="BA18" i="9"/>
  <c r="AV18" i="9"/>
  <c r="BB18" i="9"/>
  <c r="BD18" i="9"/>
  <c r="AZ18" i="9"/>
  <c r="BE18" i="9"/>
  <c r="AP19" i="8"/>
  <c r="AO19" i="8"/>
  <c r="AN19" i="8"/>
  <c r="AO18" i="8"/>
  <c r="AP18" i="8"/>
  <c r="AN18" i="8"/>
  <c r="AO14" i="8"/>
  <c r="AO15" i="8"/>
  <c r="AG18" i="8"/>
  <c r="AF18" i="8"/>
  <c r="AE18" i="8"/>
  <c r="X18" i="8"/>
  <c r="W18" i="8"/>
  <c r="V18" i="8"/>
  <c r="O18" i="8"/>
  <c r="N18" i="8"/>
  <c r="F18" i="8"/>
  <c r="E18" i="8"/>
  <c r="D18" i="8"/>
  <c r="W15" i="8"/>
  <c r="AF14" i="8"/>
  <c r="O14" i="8"/>
  <c r="N14" i="8"/>
  <c r="F14" i="8"/>
  <c r="AO13" i="8"/>
  <c r="N13" i="8"/>
  <c r="AO12" i="8"/>
  <c r="AN12" i="8"/>
  <c r="AF12" i="8"/>
  <c r="AE12" i="8"/>
  <c r="N12" i="8"/>
  <c r="AO11" i="8"/>
  <c r="AP11" i="8"/>
  <c r="AG11" i="8"/>
  <c r="AF11" i="8"/>
  <c r="W11" i="8"/>
  <c r="O11" i="8"/>
  <c r="N11" i="8"/>
  <c r="F11" i="8"/>
  <c r="AO10" i="8"/>
  <c r="N10" i="8"/>
  <c r="E10" i="8"/>
  <c r="AO9" i="8"/>
  <c r="AP9" i="8"/>
  <c r="AN9" i="8"/>
  <c r="AF9" i="8"/>
  <c r="W9" i="8"/>
  <c r="V9" i="8"/>
  <c r="X9" i="8"/>
  <c r="N9" i="8"/>
  <c r="AG19" i="8"/>
  <c r="X19" i="8"/>
  <c r="X20" i="8"/>
  <c r="O20" i="8"/>
  <c r="O19" i="8"/>
  <c r="F19" i="8"/>
  <c r="D9" i="8"/>
  <c r="E9" i="8"/>
  <c r="AO8" i="8"/>
  <c r="AN8" i="8"/>
  <c r="AF8" i="8"/>
  <c r="V8" i="8"/>
  <c r="W8" i="8"/>
  <c r="N8" i="8"/>
  <c r="E8" i="8"/>
  <c r="AO7" i="8"/>
  <c r="AF7" i="8"/>
  <c r="N7" i="8"/>
  <c r="E7" i="8"/>
  <c r="W2" i="8"/>
  <c r="AP40" i="8"/>
  <c r="AO40" i="8"/>
  <c r="AN40" i="8"/>
  <c r="AP39" i="8"/>
  <c r="AO39" i="8"/>
  <c r="AN39" i="8"/>
  <c r="AL18" i="8"/>
  <c r="AK18" i="8"/>
  <c r="AJ18" i="8"/>
  <c r="AI18" i="8"/>
  <c r="AH18" i="8"/>
  <c r="AD18" i="8"/>
  <c r="AC18" i="8"/>
  <c r="AB18" i="8"/>
  <c r="AA18" i="8"/>
  <c r="Z18" i="8"/>
  <c r="Y18" i="8"/>
  <c r="U18" i="8"/>
  <c r="T18" i="8"/>
  <c r="S18" i="8"/>
  <c r="R18" i="8"/>
  <c r="Q18" i="8"/>
  <c r="P18" i="8"/>
  <c r="L18" i="8"/>
  <c r="K18" i="8"/>
  <c r="J18" i="8"/>
  <c r="I18" i="8"/>
  <c r="H18" i="8"/>
  <c r="G18" i="8"/>
  <c r="C18" i="8"/>
  <c r="AV17" i="8"/>
  <c r="AU17" i="8"/>
  <c r="AS17" i="8"/>
  <c r="AR17" i="8"/>
  <c r="AQ17" i="8"/>
  <c r="AM17" i="8"/>
  <c r="AV16" i="8"/>
  <c r="AU16" i="8"/>
  <c r="AS16" i="8"/>
  <c r="AR16" i="8"/>
  <c r="AQ16" i="8"/>
  <c r="AM16" i="8"/>
  <c r="AV15" i="8"/>
  <c r="AU15" i="8"/>
  <c r="AS15" i="8"/>
  <c r="AR15" i="8"/>
  <c r="AQ15" i="8"/>
  <c r="AM15" i="8"/>
  <c r="AV14" i="8"/>
  <c r="AU14" i="8"/>
  <c r="AS14" i="8"/>
  <c r="AR14" i="8"/>
  <c r="AQ14" i="8"/>
  <c r="AM14" i="8"/>
  <c r="AV13" i="8"/>
  <c r="AU13" i="8"/>
  <c r="AS13" i="8"/>
  <c r="AR13" i="8"/>
  <c r="AQ13" i="8"/>
  <c r="AM13" i="8"/>
  <c r="AV12" i="8"/>
  <c r="AU12" i="8"/>
  <c r="AS12" i="8"/>
  <c r="AR12" i="8"/>
  <c r="AQ12" i="8"/>
  <c r="AM12" i="8"/>
  <c r="AV11" i="8"/>
  <c r="AU11" i="8"/>
  <c r="AS11" i="8"/>
  <c r="AR11" i="8"/>
  <c r="AQ11" i="8"/>
  <c r="AM11" i="8"/>
  <c r="AV10" i="8"/>
  <c r="AU10" i="8"/>
  <c r="AS10" i="8"/>
  <c r="AM10" i="8"/>
  <c r="AU9" i="8"/>
  <c r="AM9" i="8"/>
  <c r="AM8" i="8"/>
  <c r="AV7" i="8"/>
  <c r="AS7" i="8"/>
  <c r="AQ7" i="8"/>
  <c r="AM7" i="8"/>
  <c r="BC18" i="9" l="1"/>
  <c r="AT8" i="8"/>
  <c r="AT17" i="8"/>
  <c r="AT7" i="8"/>
  <c r="AT16" i="8"/>
  <c r="AS18" i="8"/>
  <c r="AT10" i="8"/>
  <c r="AV18" i="8"/>
  <c r="AQ18" i="8"/>
  <c r="AU18" i="8"/>
  <c r="AT11" i="8"/>
  <c r="AT13" i="8"/>
  <c r="AM18" i="8"/>
  <c r="AT12" i="8"/>
  <c r="AT14" i="8"/>
  <c r="AT15" i="8"/>
  <c r="AR18" i="8"/>
  <c r="AT9" i="8"/>
  <c r="AP19" i="7"/>
  <c r="AP18" i="7"/>
  <c r="AO19" i="7"/>
  <c r="AO18" i="7"/>
  <c r="AN19" i="7"/>
  <c r="AN18" i="7"/>
  <c r="AF18" i="7"/>
  <c r="AE18" i="7"/>
  <c r="X18" i="7"/>
  <c r="W18" i="7"/>
  <c r="V18" i="7"/>
  <c r="O18" i="7"/>
  <c r="N18" i="7"/>
  <c r="M18" i="7"/>
  <c r="F18" i="7"/>
  <c r="E18" i="7"/>
  <c r="D18" i="7"/>
  <c r="AO15" i="7"/>
  <c r="W15" i="7"/>
  <c r="AO14" i="7"/>
  <c r="AP14" i="7"/>
  <c r="AF14" i="7"/>
  <c r="N14" i="7"/>
  <c r="O14" i="7"/>
  <c r="E14" i="7"/>
  <c r="AO13" i="7"/>
  <c r="AN13" i="7"/>
  <c r="AF13" i="7"/>
  <c r="N13" i="7"/>
  <c r="D13" i="7"/>
  <c r="AO12" i="7"/>
  <c r="AF12" i="7"/>
  <c r="W12" i="7"/>
  <c r="E12" i="7"/>
  <c r="AP11" i="7"/>
  <c r="AO11" i="7"/>
  <c r="AN11" i="7"/>
  <c r="AO10" i="7"/>
  <c r="AN10" i="7"/>
  <c r="AF11" i="7"/>
  <c r="V11" i="7"/>
  <c r="F11" i="7"/>
  <c r="E11" i="7"/>
  <c r="AF10" i="7"/>
  <c r="AE10" i="7"/>
  <c r="V10" i="7"/>
  <c r="W10" i="7"/>
  <c r="M10" i="7"/>
  <c r="N10" i="7"/>
  <c r="AP9" i="7"/>
  <c r="AO9" i="7"/>
  <c r="AN9" i="7"/>
  <c r="W9" i="7"/>
  <c r="X9" i="7"/>
  <c r="O9" i="7"/>
  <c r="N9" i="7"/>
  <c r="F9" i="7"/>
  <c r="E9" i="7"/>
  <c r="D9" i="7"/>
  <c r="AO8" i="7"/>
  <c r="AF8" i="7"/>
  <c r="W8" i="7"/>
  <c r="N8" i="7"/>
  <c r="E8" i="7"/>
  <c r="AO7" i="7"/>
  <c r="AN7" i="7"/>
  <c r="AF7" i="7"/>
  <c r="W7" i="7"/>
  <c r="N7" i="7"/>
  <c r="D7" i="7"/>
  <c r="E7" i="7"/>
  <c r="AG19" i="7"/>
  <c r="X20" i="7"/>
  <c r="X19" i="7"/>
  <c r="O20" i="7"/>
  <c r="O19" i="7"/>
  <c r="F19" i="7"/>
  <c r="W2" i="7"/>
  <c r="AN36" i="7"/>
  <c r="AO36" i="7"/>
  <c r="AP36" i="7"/>
  <c r="AN37" i="7"/>
  <c r="AO37" i="7"/>
  <c r="AP37" i="7"/>
  <c r="AT18" i="8" l="1"/>
  <c r="AL18" i="7"/>
  <c r="AK18" i="7"/>
  <c r="AJ18" i="7"/>
  <c r="AI18" i="7"/>
  <c r="AH18" i="7"/>
  <c r="AD18" i="7"/>
  <c r="AC18" i="7"/>
  <c r="AB18" i="7"/>
  <c r="AA18" i="7"/>
  <c r="Z18" i="7"/>
  <c r="Y18" i="7"/>
  <c r="U18" i="7"/>
  <c r="T18" i="7"/>
  <c r="S18" i="7"/>
  <c r="R18" i="7"/>
  <c r="Q18" i="7"/>
  <c r="P18" i="7"/>
  <c r="L18" i="7"/>
  <c r="K18" i="7"/>
  <c r="J18" i="7"/>
  <c r="I18" i="7"/>
  <c r="H18" i="7"/>
  <c r="G18" i="7"/>
  <c r="C18" i="7"/>
  <c r="AV17" i="7"/>
  <c r="AU17" i="7"/>
  <c r="AS17" i="7"/>
  <c r="AT17" i="7" s="1"/>
  <c r="AR17" i="7"/>
  <c r="AQ17" i="7"/>
  <c r="AM17" i="7"/>
  <c r="AV16" i="7"/>
  <c r="AU16" i="7"/>
  <c r="AS16" i="7"/>
  <c r="AR16" i="7"/>
  <c r="AQ16" i="7"/>
  <c r="AM16" i="7"/>
  <c r="AV15" i="7"/>
  <c r="AU15" i="7"/>
  <c r="AS15" i="7"/>
  <c r="AR15" i="7"/>
  <c r="AQ15" i="7"/>
  <c r="AM15" i="7"/>
  <c r="AV14" i="7"/>
  <c r="AU14" i="7"/>
  <c r="AS14" i="7"/>
  <c r="AR14" i="7"/>
  <c r="AQ14" i="7"/>
  <c r="AM14" i="7"/>
  <c r="AV13" i="7"/>
  <c r="AU13" i="7"/>
  <c r="AS13" i="7"/>
  <c r="AQ13" i="7"/>
  <c r="AM13" i="7"/>
  <c r="AV12" i="7"/>
  <c r="AU12" i="7"/>
  <c r="AS12" i="7"/>
  <c r="AR12" i="7"/>
  <c r="AQ12" i="7"/>
  <c r="AM12" i="7"/>
  <c r="AV11" i="7"/>
  <c r="AU11" i="7"/>
  <c r="AS11" i="7"/>
  <c r="AR11" i="7"/>
  <c r="AQ11" i="7"/>
  <c r="AM11" i="7"/>
  <c r="AV10" i="7"/>
  <c r="AU10" i="7"/>
  <c r="AQ10" i="7"/>
  <c r="AM10" i="7"/>
  <c r="AV9" i="7"/>
  <c r="AU9" i="7"/>
  <c r="AM9" i="7"/>
  <c r="AV8" i="7"/>
  <c r="AU8" i="7"/>
  <c r="AM8" i="7"/>
  <c r="AV7" i="7"/>
  <c r="AU7" i="7"/>
  <c r="AS7" i="7"/>
  <c r="AR7" i="7"/>
  <c r="AQ7" i="7"/>
  <c r="AM7" i="7"/>
  <c r="AT7" i="7" l="1"/>
  <c r="AT16" i="7"/>
  <c r="AU18" i="7"/>
  <c r="AT8" i="7"/>
  <c r="AT13" i="7"/>
  <c r="AT11" i="7"/>
  <c r="AT12" i="7"/>
  <c r="AQ18" i="7"/>
  <c r="AS18" i="7"/>
  <c r="AM18" i="7"/>
  <c r="AV18" i="7"/>
  <c r="AT14" i="7"/>
  <c r="AT15" i="7"/>
  <c r="AR18" i="7"/>
  <c r="AN19" i="4"/>
  <c r="AO19" i="4"/>
  <c r="AP19" i="4"/>
  <c r="AP18" i="4"/>
  <c r="AO18" i="4"/>
  <c r="AN18" i="4"/>
  <c r="AF18" i="4"/>
  <c r="W18" i="4"/>
  <c r="N18" i="4"/>
  <c r="O18" i="4"/>
  <c r="N9" i="4"/>
  <c r="M18" i="4"/>
  <c r="F18" i="4"/>
  <c r="E18" i="4"/>
  <c r="AP15" i="4"/>
  <c r="O15" i="4"/>
  <c r="AF13" i="4"/>
  <c r="F11" i="4"/>
  <c r="AO12" i="4"/>
  <c r="X12" i="4"/>
  <c r="AF10" i="4"/>
  <c r="W10" i="4"/>
  <c r="E10" i="4"/>
  <c r="F10" i="4"/>
  <c r="D10" i="4"/>
  <c r="AN9" i="4"/>
  <c r="AE9" i="4"/>
  <c r="AO7" i="4"/>
  <c r="AF7" i="4"/>
  <c r="AG19" i="4"/>
  <c r="X19" i="4"/>
  <c r="O19" i="4"/>
  <c r="X20" i="4"/>
  <c r="O20" i="4"/>
  <c r="F19" i="4"/>
  <c r="AN33" i="4"/>
  <c r="AO33" i="4"/>
  <c r="AP33" i="4"/>
  <c r="AN34" i="4"/>
  <c r="AO34" i="4"/>
  <c r="AP34" i="4"/>
  <c r="W2" i="4"/>
  <c r="AL18" i="4"/>
  <c r="AK18" i="4"/>
  <c r="AJ18" i="4"/>
  <c r="AI18" i="4"/>
  <c r="AH18" i="4"/>
  <c r="AD18" i="4"/>
  <c r="AC18" i="4"/>
  <c r="AB18" i="4"/>
  <c r="AA18" i="4"/>
  <c r="Z18" i="4"/>
  <c r="Y18" i="4"/>
  <c r="U18" i="4"/>
  <c r="T18" i="4"/>
  <c r="S18" i="4"/>
  <c r="R18" i="4"/>
  <c r="Q18" i="4"/>
  <c r="P18" i="4"/>
  <c r="L18" i="4"/>
  <c r="K18" i="4"/>
  <c r="J18" i="4"/>
  <c r="I18" i="4"/>
  <c r="H18" i="4"/>
  <c r="G18" i="4"/>
  <c r="C18" i="4"/>
  <c r="AV17" i="4"/>
  <c r="AU17" i="4"/>
  <c r="AS17" i="4"/>
  <c r="AR17" i="4"/>
  <c r="AT17" i="4" s="1"/>
  <c r="AQ17" i="4"/>
  <c r="AM17" i="4"/>
  <c r="AV16" i="4"/>
  <c r="AU16" i="4"/>
  <c r="AS16" i="4"/>
  <c r="AR16" i="4"/>
  <c r="AT16" i="4" s="1"/>
  <c r="AQ16" i="4"/>
  <c r="AM16" i="4"/>
  <c r="AV15" i="4"/>
  <c r="AU15" i="4"/>
  <c r="AS15" i="4"/>
  <c r="AR15" i="4"/>
  <c r="AQ15" i="4"/>
  <c r="AM15" i="4"/>
  <c r="AV14" i="4"/>
  <c r="AU14" i="4"/>
  <c r="AS14" i="4"/>
  <c r="AR14" i="4"/>
  <c r="AQ14" i="4"/>
  <c r="AM14" i="4"/>
  <c r="AV13" i="4"/>
  <c r="AU13" i="4"/>
  <c r="AS13" i="4"/>
  <c r="AR13" i="4"/>
  <c r="AQ13" i="4"/>
  <c r="AM13" i="4"/>
  <c r="AV12" i="4"/>
  <c r="AU12" i="4"/>
  <c r="AS12" i="4"/>
  <c r="AR12" i="4"/>
  <c r="AQ12" i="4"/>
  <c r="AM12" i="4"/>
  <c r="AV11" i="4"/>
  <c r="AU11" i="4"/>
  <c r="AS11" i="4"/>
  <c r="AR11" i="4"/>
  <c r="AQ11" i="4"/>
  <c r="AP11" i="4"/>
  <c r="AM11" i="4"/>
  <c r="AV10" i="4"/>
  <c r="AU10" i="4"/>
  <c r="AS10" i="4"/>
  <c r="AR10" i="4"/>
  <c r="AQ10" i="4"/>
  <c r="AO10" i="4"/>
  <c r="AM10" i="4"/>
  <c r="AV9" i="4"/>
  <c r="AU9" i="4"/>
  <c r="AS9" i="4"/>
  <c r="AR9" i="4"/>
  <c r="AQ9" i="4"/>
  <c r="AM9" i="4"/>
  <c r="AV8" i="4"/>
  <c r="AU8" i="4"/>
  <c r="AQ8" i="4"/>
  <c r="AM8" i="4"/>
  <c r="AV7" i="4"/>
  <c r="AU7" i="4"/>
  <c r="AS7" i="4"/>
  <c r="AR7" i="4"/>
  <c r="AQ7" i="4"/>
  <c r="AM7" i="4"/>
  <c r="AT18" i="7" l="1"/>
  <c r="AT15" i="4"/>
  <c r="AT9" i="4"/>
  <c r="AT11" i="4"/>
  <c r="AT13" i="4"/>
  <c r="AQ18" i="4"/>
  <c r="AV18" i="4"/>
  <c r="AM18" i="4"/>
  <c r="AS18" i="4"/>
  <c r="AT14" i="4"/>
  <c r="AR18" i="4"/>
  <c r="AU18" i="4"/>
  <c r="AT10" i="4"/>
  <c r="AT12" i="4"/>
  <c r="AT7" i="4"/>
  <c r="AP19" i="6"/>
  <c r="AO19" i="6"/>
  <c r="AN19" i="6"/>
  <c r="AP18" i="6"/>
  <c r="AO18" i="6"/>
  <c r="AN18" i="6"/>
  <c r="AG18" i="6"/>
  <c r="AF18" i="6"/>
  <c r="W18" i="6"/>
  <c r="V18" i="6"/>
  <c r="O18" i="6"/>
  <c r="N18" i="6"/>
  <c r="M18" i="6"/>
  <c r="F18" i="6"/>
  <c r="E18" i="6"/>
  <c r="AP11" i="6"/>
  <c r="AN11" i="6"/>
  <c r="AP14" i="6"/>
  <c r="O11" i="6"/>
  <c r="M11" i="6"/>
  <c r="AG14" i="6"/>
  <c r="W14" i="6"/>
  <c r="AO10" i="6"/>
  <c r="AF10" i="6"/>
  <c r="N10" i="6"/>
  <c r="W10" i="6"/>
  <c r="M10" i="6"/>
  <c r="F10" i="6"/>
  <c r="AO8" i="6"/>
  <c r="AN8" i="6"/>
  <c r="N8" i="6"/>
  <c r="AO7" i="6"/>
  <c r="AG19" i="6"/>
  <c r="X19" i="6"/>
  <c r="O19" i="6"/>
  <c r="X20" i="6"/>
  <c r="O20" i="6"/>
  <c r="F19" i="6"/>
  <c r="AN30" i="6"/>
  <c r="AO30" i="6"/>
  <c r="AP30" i="6"/>
  <c r="AN31" i="6"/>
  <c r="AO31" i="6"/>
  <c r="AP31" i="6"/>
  <c r="W2" i="6"/>
  <c r="AL18" i="6"/>
  <c r="AK18" i="6"/>
  <c r="AJ18" i="6"/>
  <c r="AI18" i="6"/>
  <c r="AH18" i="6"/>
  <c r="AD18" i="6"/>
  <c r="AC18" i="6"/>
  <c r="AB18" i="6"/>
  <c r="AA18" i="6"/>
  <c r="Z18" i="6"/>
  <c r="Y18" i="6"/>
  <c r="U18" i="6"/>
  <c r="T18" i="6"/>
  <c r="S18" i="6"/>
  <c r="R18" i="6"/>
  <c r="Q18" i="6"/>
  <c r="P18" i="6"/>
  <c r="L18" i="6"/>
  <c r="K18" i="6"/>
  <c r="J18" i="6"/>
  <c r="I18" i="6"/>
  <c r="H18" i="6"/>
  <c r="G18" i="6"/>
  <c r="C18" i="6"/>
  <c r="AV17" i="6"/>
  <c r="AU17" i="6"/>
  <c r="AS17" i="6"/>
  <c r="AR17" i="6"/>
  <c r="AT17" i="6" s="1"/>
  <c r="AQ17" i="6"/>
  <c r="AM17" i="6"/>
  <c r="AV16" i="6"/>
  <c r="AU16" i="6"/>
  <c r="AS16" i="6"/>
  <c r="AT16" i="6" s="1"/>
  <c r="AR16" i="6"/>
  <c r="AQ16" i="6"/>
  <c r="AM16" i="6"/>
  <c r="AV15" i="6"/>
  <c r="AU15" i="6"/>
  <c r="AS15" i="6"/>
  <c r="AR15" i="6"/>
  <c r="AQ15" i="6"/>
  <c r="AM15" i="6"/>
  <c r="AV14" i="6"/>
  <c r="AU14" i="6"/>
  <c r="AS14" i="6"/>
  <c r="AR14" i="6"/>
  <c r="AQ14" i="6"/>
  <c r="AM14" i="6"/>
  <c r="AV13" i="6"/>
  <c r="AU13" i="6"/>
  <c r="AS13" i="6"/>
  <c r="AR13" i="6"/>
  <c r="AQ13" i="6"/>
  <c r="AM13" i="6"/>
  <c r="AV12" i="6"/>
  <c r="AU12" i="6"/>
  <c r="AS12" i="6"/>
  <c r="AR12" i="6"/>
  <c r="AQ12" i="6"/>
  <c r="AM12" i="6"/>
  <c r="AV11" i="6"/>
  <c r="AU11" i="6"/>
  <c r="AS11" i="6"/>
  <c r="AR11" i="6"/>
  <c r="AQ11" i="6"/>
  <c r="AM11" i="6"/>
  <c r="AV10" i="6"/>
  <c r="AU10" i="6"/>
  <c r="AS10" i="6"/>
  <c r="AR10" i="6"/>
  <c r="AQ10" i="6"/>
  <c r="AM10" i="6"/>
  <c r="AV9" i="6"/>
  <c r="AU9" i="6"/>
  <c r="AS9" i="6"/>
  <c r="AR9" i="6"/>
  <c r="AQ9" i="6"/>
  <c r="AM9" i="6"/>
  <c r="AV8" i="6"/>
  <c r="AU8" i="6"/>
  <c r="AQ8" i="6"/>
  <c r="AM8" i="6"/>
  <c r="AV7" i="6"/>
  <c r="AU7" i="6"/>
  <c r="AS7" i="6"/>
  <c r="AR7" i="6"/>
  <c r="AQ7" i="6"/>
  <c r="AM7" i="6"/>
  <c r="AT18" i="4" l="1"/>
  <c r="AT13" i="6"/>
  <c r="AT12" i="6"/>
  <c r="AT8" i="6"/>
  <c r="AT11" i="6"/>
  <c r="AU18" i="6"/>
  <c r="AT9" i="6"/>
  <c r="AT14" i="6"/>
  <c r="AM18" i="6"/>
  <c r="AQ18" i="6"/>
  <c r="AV18" i="6"/>
  <c r="AR18" i="6"/>
  <c r="AT10" i="6"/>
  <c r="AT15" i="6"/>
  <c r="AS18" i="6"/>
  <c r="AT7" i="6"/>
  <c r="AP19" i="5"/>
  <c r="AO19" i="5"/>
  <c r="AN19" i="5"/>
  <c r="AP18" i="5"/>
  <c r="AO18" i="5"/>
  <c r="AN18" i="5"/>
  <c r="AF18" i="5"/>
  <c r="W18" i="5"/>
  <c r="N18" i="5"/>
  <c r="M18" i="5"/>
  <c r="E18" i="5"/>
  <c r="F18" i="5"/>
  <c r="D18" i="5"/>
  <c r="AG19" i="5"/>
  <c r="X19" i="5"/>
  <c r="O19" i="5"/>
  <c r="X20" i="5"/>
  <c r="O20" i="5"/>
  <c r="F19" i="5"/>
  <c r="AO12" i="5"/>
  <c r="AP10" i="5"/>
  <c r="F10" i="5"/>
  <c r="E9" i="5"/>
  <c r="AO8" i="5"/>
  <c r="AN8" i="5"/>
  <c r="AO7" i="5"/>
  <c r="AF7" i="5"/>
  <c r="W7" i="5"/>
  <c r="AN27" i="5"/>
  <c r="AO27" i="5"/>
  <c r="AP27" i="5"/>
  <c r="AN28" i="5"/>
  <c r="AO28" i="5"/>
  <c r="AP28" i="5"/>
  <c r="W2" i="5"/>
  <c r="AL18" i="5"/>
  <c r="AK18" i="5"/>
  <c r="AJ18" i="5"/>
  <c r="AI18" i="5"/>
  <c r="AH18" i="5"/>
  <c r="AG18" i="5"/>
  <c r="AD18" i="5"/>
  <c r="AC18" i="5"/>
  <c r="AB18" i="5"/>
  <c r="AA18" i="5"/>
  <c r="Z18" i="5"/>
  <c r="Y18" i="5"/>
  <c r="U18" i="5"/>
  <c r="T18" i="5"/>
  <c r="S18" i="5"/>
  <c r="R18" i="5"/>
  <c r="Q18" i="5"/>
  <c r="P18" i="5"/>
  <c r="L18" i="5"/>
  <c r="K18" i="5"/>
  <c r="J18" i="5"/>
  <c r="I18" i="5"/>
  <c r="H18" i="5"/>
  <c r="G18" i="5"/>
  <c r="C18" i="5"/>
  <c r="AV17" i="5"/>
  <c r="AU17" i="5"/>
  <c r="AS17" i="5"/>
  <c r="AR17" i="5"/>
  <c r="AT17" i="5" s="1"/>
  <c r="AQ17" i="5"/>
  <c r="AM17" i="5"/>
  <c r="AV16" i="5"/>
  <c r="AU16" i="5"/>
  <c r="AS16" i="5"/>
  <c r="AT16" i="5" s="1"/>
  <c r="AR16" i="5"/>
  <c r="AQ16" i="5"/>
  <c r="AM16" i="5"/>
  <c r="AV15" i="5"/>
  <c r="AU15" i="5"/>
  <c r="AS15" i="5"/>
  <c r="AR15" i="5"/>
  <c r="AQ15" i="5"/>
  <c r="AM15" i="5"/>
  <c r="AV14" i="5"/>
  <c r="AU14" i="5"/>
  <c r="AS14" i="5"/>
  <c r="AR14" i="5"/>
  <c r="AQ14" i="5"/>
  <c r="AM14" i="5"/>
  <c r="AV13" i="5"/>
  <c r="AU13" i="5"/>
  <c r="AS13" i="5"/>
  <c r="AR13" i="5"/>
  <c r="AQ13" i="5"/>
  <c r="AM13" i="5"/>
  <c r="AV12" i="5"/>
  <c r="AU12" i="5"/>
  <c r="AS12" i="5"/>
  <c r="AR12" i="5"/>
  <c r="AQ12" i="5"/>
  <c r="AM12" i="5"/>
  <c r="AV11" i="5"/>
  <c r="AU11" i="5"/>
  <c r="AS11" i="5"/>
  <c r="AR11" i="5"/>
  <c r="AQ11" i="5"/>
  <c r="AM11" i="5"/>
  <c r="AV10" i="5"/>
  <c r="AU10" i="5"/>
  <c r="AS10" i="5"/>
  <c r="AT10" i="5" s="1"/>
  <c r="AR10" i="5"/>
  <c r="AQ10" i="5"/>
  <c r="AM10" i="5"/>
  <c r="AV9" i="5"/>
  <c r="AU9" i="5"/>
  <c r="AS9" i="5"/>
  <c r="AR9" i="5"/>
  <c r="AQ9" i="5"/>
  <c r="AM9" i="5"/>
  <c r="AV8" i="5"/>
  <c r="AU8" i="5"/>
  <c r="AS8" i="5"/>
  <c r="AR8" i="5"/>
  <c r="AQ8" i="5"/>
  <c r="AM8" i="5"/>
  <c r="AV7" i="5"/>
  <c r="AU7" i="5"/>
  <c r="AS7" i="5"/>
  <c r="AR7" i="5"/>
  <c r="AT7" i="5" s="1"/>
  <c r="AQ7" i="5"/>
  <c r="AM7" i="5"/>
  <c r="AT18" i="6" l="1"/>
  <c r="AT13" i="5"/>
  <c r="AT9" i="5"/>
  <c r="AU18" i="5"/>
  <c r="AM18" i="5"/>
  <c r="AT8" i="5"/>
  <c r="AQ18" i="5"/>
  <c r="AV18" i="5"/>
  <c r="AT11" i="5"/>
  <c r="AT14" i="5"/>
  <c r="AS18" i="5"/>
  <c r="AT12" i="5"/>
  <c r="AT15" i="5"/>
  <c r="AR18" i="5"/>
  <c r="AO19" i="3"/>
  <c r="AO18" i="3"/>
  <c r="AP19" i="3"/>
  <c r="AP18" i="3"/>
  <c r="AN19" i="3"/>
  <c r="AN18" i="3"/>
  <c r="AF18" i="3"/>
  <c r="AG18" i="3"/>
  <c r="W18" i="3"/>
  <c r="V18" i="3"/>
  <c r="N18" i="3"/>
  <c r="O18" i="3"/>
  <c r="M18" i="3"/>
  <c r="E18" i="3"/>
  <c r="D18" i="3"/>
  <c r="AG19" i="3"/>
  <c r="X19" i="3"/>
  <c r="O19" i="3"/>
  <c r="X20" i="3"/>
  <c r="O20" i="3"/>
  <c r="F19" i="3"/>
  <c r="AO14" i="3"/>
  <c r="V14" i="3"/>
  <c r="AN13" i="3"/>
  <c r="AO12" i="3"/>
  <c r="W12" i="3"/>
  <c r="N12" i="3"/>
  <c r="AO10" i="3"/>
  <c r="AO9" i="3"/>
  <c r="W10" i="3"/>
  <c r="O10" i="3"/>
  <c r="AF9" i="3"/>
  <c r="M9" i="3"/>
  <c r="AO8" i="3"/>
  <c r="AN8" i="3"/>
  <c r="E7" i="3"/>
  <c r="AP25" i="3"/>
  <c r="AO25" i="3"/>
  <c r="AN25" i="3"/>
  <c r="AP24" i="3"/>
  <c r="AO24" i="3"/>
  <c r="AN24" i="3"/>
  <c r="W2" i="3"/>
  <c r="AL18" i="3"/>
  <c r="AK18" i="3"/>
  <c r="AJ18" i="3"/>
  <c r="AI18" i="3"/>
  <c r="AH18" i="3"/>
  <c r="AD18" i="3"/>
  <c r="AC18" i="3"/>
  <c r="AB18" i="3"/>
  <c r="AA18" i="3"/>
  <c r="Z18" i="3"/>
  <c r="Y18" i="3"/>
  <c r="U18" i="3"/>
  <c r="T18" i="3"/>
  <c r="S18" i="3"/>
  <c r="R18" i="3"/>
  <c r="Q18" i="3"/>
  <c r="P18" i="3"/>
  <c r="L18" i="3"/>
  <c r="K18" i="3"/>
  <c r="J18" i="3"/>
  <c r="I18" i="3"/>
  <c r="H18" i="3"/>
  <c r="G18" i="3"/>
  <c r="C18" i="3"/>
  <c r="AV17" i="3"/>
  <c r="AU17" i="3"/>
  <c r="AS17" i="3"/>
  <c r="AT17" i="3" s="1"/>
  <c r="AR17" i="3"/>
  <c r="AQ17" i="3"/>
  <c r="AM17" i="3"/>
  <c r="AV16" i="3"/>
  <c r="AU16" i="3"/>
  <c r="AS16" i="3"/>
  <c r="AR16" i="3"/>
  <c r="AT16" i="3" s="1"/>
  <c r="AQ16" i="3"/>
  <c r="AM16" i="3"/>
  <c r="AV15" i="3"/>
  <c r="AU15" i="3"/>
  <c r="AS15" i="3"/>
  <c r="AR15" i="3"/>
  <c r="AT15" i="3" s="1"/>
  <c r="AQ15" i="3"/>
  <c r="AM15" i="3"/>
  <c r="AV14" i="3"/>
  <c r="AU14" i="3"/>
  <c r="AS14" i="3"/>
  <c r="AR14" i="3"/>
  <c r="AQ14" i="3"/>
  <c r="AM14" i="3"/>
  <c r="AV13" i="3"/>
  <c r="AU13" i="3"/>
  <c r="AS13" i="3"/>
  <c r="AR13" i="3"/>
  <c r="AQ13" i="3"/>
  <c r="AM13" i="3"/>
  <c r="AV12" i="3"/>
  <c r="AU12" i="3"/>
  <c r="AS12" i="3"/>
  <c r="AR12" i="3"/>
  <c r="AQ12" i="3"/>
  <c r="AM12" i="3"/>
  <c r="AV11" i="3"/>
  <c r="AU11" i="3"/>
  <c r="AS11" i="3"/>
  <c r="AR11" i="3"/>
  <c r="AQ11" i="3"/>
  <c r="AM11" i="3"/>
  <c r="AV10" i="3"/>
  <c r="AU10" i="3"/>
  <c r="AS10" i="3"/>
  <c r="AR10" i="3"/>
  <c r="AQ10" i="3"/>
  <c r="AM10" i="3"/>
  <c r="AV9" i="3"/>
  <c r="AU9" i="3"/>
  <c r="AS9" i="3"/>
  <c r="AR9" i="3"/>
  <c r="AQ9" i="3"/>
  <c r="AM9" i="3"/>
  <c r="AV8" i="3"/>
  <c r="AU8" i="3"/>
  <c r="AS8" i="3"/>
  <c r="AR8" i="3"/>
  <c r="AQ8" i="3"/>
  <c r="AM8" i="3"/>
  <c r="AV7" i="3"/>
  <c r="AU7" i="3"/>
  <c r="AS7" i="3"/>
  <c r="AR7" i="3"/>
  <c r="AQ7" i="3"/>
  <c r="AM7" i="3"/>
  <c r="AT18" i="5" l="1"/>
  <c r="AT8" i="3"/>
  <c r="AT9" i="3"/>
  <c r="AT7" i="3"/>
  <c r="AT14" i="3"/>
  <c r="AT13" i="3"/>
  <c r="AT12" i="3"/>
  <c r="AM18" i="3"/>
  <c r="AQ18" i="3"/>
  <c r="AU18" i="3"/>
  <c r="AR18" i="3"/>
  <c r="AV18" i="3"/>
  <c r="AT11" i="3"/>
  <c r="AT10" i="3"/>
  <c r="AS18" i="3"/>
  <c r="W2" i="2"/>
  <c r="AG18" i="2"/>
  <c r="X18" i="2"/>
  <c r="AO19" i="2"/>
  <c r="AO18" i="2"/>
  <c r="AO12" i="2"/>
  <c r="E18" i="2"/>
  <c r="AP22" i="2"/>
  <c r="AO22" i="2"/>
  <c r="AN22" i="2"/>
  <c r="AP21" i="2"/>
  <c r="AO21" i="2"/>
  <c r="AN21" i="2"/>
  <c r="AP19" i="2"/>
  <c r="AP18" i="2"/>
  <c r="AN19" i="2"/>
  <c r="AN18" i="2"/>
  <c r="AO14" i="2"/>
  <c r="AN13" i="2"/>
  <c r="AP12" i="2"/>
  <c r="AO10" i="2"/>
  <c r="AN10" i="2"/>
  <c r="AO9" i="2"/>
  <c r="AO8" i="2"/>
  <c r="AN8" i="2"/>
  <c r="AP7" i="2"/>
  <c r="AO7" i="2"/>
  <c r="AN7" i="2"/>
  <c r="AF18" i="2"/>
  <c r="W18" i="2"/>
  <c r="V18" i="2"/>
  <c r="N18" i="2"/>
  <c r="M18" i="2"/>
  <c r="F18" i="2"/>
  <c r="D18" i="2"/>
  <c r="X12" i="2"/>
  <c r="AF10" i="2"/>
  <c r="AG9" i="2"/>
  <c r="AF8" i="2"/>
  <c r="M8" i="2"/>
  <c r="V7" i="2"/>
  <c r="AL18" i="2"/>
  <c r="AK18" i="2"/>
  <c r="AJ18" i="2"/>
  <c r="AI18" i="2"/>
  <c r="AH18" i="2"/>
  <c r="AD18" i="2"/>
  <c r="AC18" i="2"/>
  <c r="AB18" i="2"/>
  <c r="AA18" i="2"/>
  <c r="Z18" i="2"/>
  <c r="Y18" i="2"/>
  <c r="U18" i="2"/>
  <c r="T18" i="2"/>
  <c r="S18" i="2"/>
  <c r="R18" i="2"/>
  <c r="Q18" i="2"/>
  <c r="P18" i="2"/>
  <c r="L18" i="2"/>
  <c r="K18" i="2"/>
  <c r="J18" i="2"/>
  <c r="I18" i="2"/>
  <c r="H18" i="2"/>
  <c r="G18" i="2"/>
  <c r="C18" i="2"/>
  <c r="AV17" i="2"/>
  <c r="AU17" i="2"/>
  <c r="AT17" i="2"/>
  <c r="AS17" i="2"/>
  <c r="AR17" i="2"/>
  <c r="AQ17" i="2"/>
  <c r="AM17" i="2"/>
  <c r="AV16" i="2"/>
  <c r="AU16" i="2"/>
  <c r="AS16" i="2"/>
  <c r="AT16" i="2" s="1"/>
  <c r="AR16" i="2"/>
  <c r="AQ16" i="2"/>
  <c r="AM16" i="2"/>
  <c r="AV15" i="2"/>
  <c r="AU15" i="2"/>
  <c r="AS15" i="2"/>
  <c r="AR15" i="2"/>
  <c r="AQ15" i="2"/>
  <c r="AM15" i="2"/>
  <c r="AV14" i="2"/>
  <c r="AU14" i="2"/>
  <c r="AS14" i="2"/>
  <c r="AR14" i="2"/>
  <c r="AQ14" i="2"/>
  <c r="AM14" i="2"/>
  <c r="AV13" i="2"/>
  <c r="AU13" i="2"/>
  <c r="AS13" i="2"/>
  <c r="AR13" i="2"/>
  <c r="AQ13" i="2"/>
  <c r="AM13" i="2"/>
  <c r="AV12" i="2"/>
  <c r="AU12" i="2"/>
  <c r="AS12" i="2"/>
  <c r="AR12" i="2"/>
  <c r="AQ12" i="2"/>
  <c r="AN12" i="2"/>
  <c r="AM12" i="2"/>
  <c r="AV11" i="2"/>
  <c r="AU11" i="2"/>
  <c r="AS11" i="2"/>
  <c r="AT11" i="2" s="1"/>
  <c r="AR11" i="2"/>
  <c r="AQ11" i="2"/>
  <c r="AM11" i="2"/>
  <c r="AV10" i="2"/>
  <c r="AU10" i="2"/>
  <c r="AS10" i="2"/>
  <c r="AR10" i="2"/>
  <c r="AQ10" i="2"/>
  <c r="AM10" i="2"/>
  <c r="AV9" i="2"/>
  <c r="AU9" i="2"/>
  <c r="AS9" i="2"/>
  <c r="AR9" i="2"/>
  <c r="AQ9" i="2"/>
  <c r="AM9" i="2"/>
  <c r="AV8" i="2"/>
  <c r="AU8" i="2"/>
  <c r="AS8" i="2"/>
  <c r="AR8" i="2"/>
  <c r="AQ8" i="2"/>
  <c r="AM8" i="2"/>
  <c r="AV7" i="2"/>
  <c r="AU7" i="2"/>
  <c r="AS7" i="2"/>
  <c r="AR7" i="2"/>
  <c r="AT7" i="2" s="1"/>
  <c r="AQ7" i="2"/>
  <c r="AM7" i="2"/>
  <c r="AT18" i="3" l="1"/>
  <c r="AT9" i="2"/>
  <c r="AT12" i="2"/>
  <c r="AT14" i="2"/>
  <c r="AS18" i="2"/>
  <c r="AT15" i="2"/>
  <c r="AV18" i="2"/>
  <c r="AU18" i="2"/>
  <c r="AM18" i="2"/>
  <c r="AQ18" i="2"/>
  <c r="AT10" i="2"/>
  <c r="AR18" i="2"/>
  <c r="AT13" i="2"/>
  <c r="AT8" i="2"/>
  <c r="AT18" i="1"/>
  <c r="AT17" i="1"/>
  <c r="AT16" i="1"/>
  <c r="AT15" i="1"/>
  <c r="AT14" i="1"/>
  <c r="AT13" i="1"/>
  <c r="AT12" i="1"/>
  <c r="AT11" i="1"/>
  <c r="AT10" i="1"/>
  <c r="AT9" i="1"/>
  <c r="AT8" i="1"/>
  <c r="AT7" i="1"/>
  <c r="AO15" i="1"/>
  <c r="AO14" i="1"/>
  <c r="AO13" i="1"/>
  <c r="AO12" i="1"/>
  <c r="AO10" i="1"/>
  <c r="AO9" i="1"/>
  <c r="AO8" i="1"/>
  <c r="AP7" i="1"/>
  <c r="AO7" i="1"/>
  <c r="AN10" i="1"/>
  <c r="AN13" i="1"/>
  <c r="AN12" i="1"/>
  <c r="AN8" i="1"/>
  <c r="AN7" i="1"/>
  <c r="AP19" i="1"/>
  <c r="AP18" i="1"/>
  <c r="AN19" i="1"/>
  <c r="AO19" i="1"/>
  <c r="AO18" i="1"/>
  <c r="AN18" i="1"/>
  <c r="AF18" i="1"/>
  <c r="W18" i="1"/>
  <c r="V18" i="1"/>
  <c r="N18" i="1"/>
  <c r="M18" i="1"/>
  <c r="D18" i="1"/>
  <c r="D7" i="1"/>
  <c r="F18" i="1"/>
  <c r="E18" i="1"/>
  <c r="W15" i="1"/>
  <c r="W14" i="1"/>
  <c r="N14" i="1"/>
  <c r="E14" i="1"/>
  <c r="AF13" i="1"/>
  <c r="V13" i="1"/>
  <c r="W13" i="1"/>
  <c r="N13" i="1"/>
  <c r="E13" i="1"/>
  <c r="AF12" i="1"/>
  <c r="V12" i="1"/>
  <c r="E12" i="1"/>
  <c r="AF10" i="1"/>
  <c r="N10" i="1"/>
  <c r="M10" i="1"/>
  <c r="E10" i="1"/>
  <c r="W9" i="1"/>
  <c r="N9" i="1"/>
  <c r="E9" i="1"/>
  <c r="V8" i="1"/>
  <c r="W8" i="1"/>
  <c r="N8" i="1"/>
  <c r="D8" i="1"/>
  <c r="E8" i="1"/>
  <c r="AF7" i="1"/>
  <c r="V7" i="1"/>
  <c r="W7" i="1"/>
  <c r="N7" i="1"/>
  <c r="F7" i="1"/>
  <c r="AL18" i="1"/>
  <c r="AK18" i="1"/>
  <c r="AJ18" i="1"/>
  <c r="AI18" i="1"/>
  <c r="AH18" i="1"/>
  <c r="AC18" i="1"/>
  <c r="AB18" i="1"/>
  <c r="AA18" i="1"/>
  <c r="Z18" i="1"/>
  <c r="Y18" i="1"/>
  <c r="T18" i="1"/>
  <c r="S18" i="1"/>
  <c r="R18" i="1"/>
  <c r="Q18" i="1"/>
  <c r="P18" i="1"/>
  <c r="H18" i="1"/>
  <c r="I18" i="1"/>
  <c r="J18" i="1"/>
  <c r="K18" i="1"/>
  <c r="G18" i="1"/>
  <c r="C18" i="1"/>
  <c r="AV17" i="1"/>
  <c r="AU17" i="1"/>
  <c r="AS17" i="1"/>
  <c r="AR17" i="1"/>
  <c r="AQ17" i="1"/>
  <c r="AV16" i="1"/>
  <c r="AU16" i="1"/>
  <c r="AS16" i="1"/>
  <c r="AR16" i="1"/>
  <c r="AQ16" i="1"/>
  <c r="AV15" i="1"/>
  <c r="AU15" i="1"/>
  <c r="AS15" i="1"/>
  <c r="AR15" i="1"/>
  <c r="AQ15" i="1"/>
  <c r="AV14" i="1"/>
  <c r="AU14" i="1"/>
  <c r="AS14" i="1"/>
  <c r="AR14" i="1"/>
  <c r="AQ14" i="1"/>
  <c r="AV13" i="1"/>
  <c r="AU13" i="1"/>
  <c r="AS13" i="1"/>
  <c r="AR13" i="1"/>
  <c r="AQ13" i="1"/>
  <c r="AV12" i="1"/>
  <c r="AU12" i="1"/>
  <c r="AS12" i="1"/>
  <c r="AR12" i="1"/>
  <c r="AQ12" i="1"/>
  <c r="AV11" i="1"/>
  <c r="AU11" i="1"/>
  <c r="AS11" i="1"/>
  <c r="AR11" i="1"/>
  <c r="AQ11" i="1"/>
  <c r="AV10" i="1"/>
  <c r="AU10" i="1"/>
  <c r="AS10" i="1"/>
  <c r="AR10" i="1"/>
  <c r="AQ10" i="1"/>
  <c r="AV9" i="1"/>
  <c r="AU9" i="1"/>
  <c r="AS9" i="1"/>
  <c r="AR9" i="1"/>
  <c r="AQ9" i="1"/>
  <c r="AV8" i="1"/>
  <c r="AU8" i="1"/>
  <c r="AS8" i="1"/>
  <c r="AR8" i="1"/>
  <c r="AQ8" i="1"/>
  <c r="AV7" i="1"/>
  <c r="AS7" i="1"/>
  <c r="AU7" i="1"/>
  <c r="AQ7" i="1"/>
  <c r="AM7" i="1"/>
  <c r="AM11" i="1"/>
  <c r="AM12" i="1"/>
  <c r="AT18" i="2" l="1"/>
  <c r="AS18" i="1"/>
  <c r="AV18" i="1"/>
  <c r="AU18" i="1"/>
  <c r="AR7" i="1"/>
  <c r="AM9" i="1"/>
  <c r="AM10" i="1"/>
  <c r="AM14" i="1"/>
  <c r="AM13" i="1"/>
  <c r="AM16" i="1"/>
  <c r="AM15" i="1"/>
  <c r="AM8" i="1"/>
  <c r="AM17" i="1"/>
  <c r="AD18" i="1"/>
  <c r="U18" i="1"/>
  <c r="L18" i="1"/>
  <c r="AR18" i="1" l="1"/>
  <c r="AQ18" i="1"/>
  <c r="AM18" i="1"/>
</calcChain>
</file>

<file path=xl/sharedStrings.xml><?xml version="1.0" encoding="utf-8"?>
<sst xmlns="http://schemas.openxmlformats.org/spreadsheetml/2006/main" count="1818" uniqueCount="130">
  <si>
    <t>3 pts</t>
  </si>
  <si>
    <t>2 pts</t>
  </si>
  <si>
    <t>1er 1/4 tps</t>
  </si>
  <si>
    <t>Joueuses</t>
  </si>
  <si>
    <t>Anna</t>
  </si>
  <si>
    <t>Pts</t>
  </si>
  <si>
    <t>2ème 1/4 tps</t>
  </si>
  <si>
    <t>3ème 1/4 tps</t>
  </si>
  <si>
    <t>4ème 1/4 tps</t>
  </si>
  <si>
    <t>Total Match</t>
  </si>
  <si>
    <t>Justine</t>
  </si>
  <si>
    <t>Olivia</t>
  </si>
  <si>
    <t>Clém</t>
  </si>
  <si>
    <t>Chloé P.</t>
  </si>
  <si>
    <t>Chloé S.</t>
  </si>
  <si>
    <t>Margaux</t>
  </si>
  <si>
    <t>Fanny</t>
  </si>
  <si>
    <t>RD</t>
  </si>
  <si>
    <t>RO</t>
  </si>
  <si>
    <t>Lf</t>
  </si>
  <si>
    <t>PD</t>
  </si>
  <si>
    <t>Int</t>
  </si>
  <si>
    <t>BP</t>
  </si>
  <si>
    <t>TR</t>
  </si>
  <si>
    <r>
      <t xml:space="preserve">Lucie </t>
    </r>
    <r>
      <rPr>
        <sz val="11"/>
        <color rgb="FFFF0000"/>
        <rFont val="Times New Roman"/>
        <family val="1"/>
      </rPr>
      <t>(Abs)</t>
    </r>
  </si>
  <si>
    <t>Légende :</t>
  </si>
  <si>
    <t>Lancé Franc</t>
  </si>
  <si>
    <t>Passe décisive</t>
  </si>
  <si>
    <t xml:space="preserve">Lf </t>
  </si>
  <si>
    <t>Rebond défensif</t>
  </si>
  <si>
    <t>Rebond offensif</t>
  </si>
  <si>
    <t>Total rebond</t>
  </si>
  <si>
    <t>Balle perdue</t>
  </si>
  <si>
    <t>Interception</t>
  </si>
  <si>
    <t>Match :</t>
  </si>
  <si>
    <t>BCVB / VEAUCHE</t>
  </si>
  <si>
    <t>Catégorie :</t>
  </si>
  <si>
    <t>U17 Région 1</t>
  </si>
  <si>
    <t>Dâte :</t>
  </si>
  <si>
    <t>BCVB / SGOF</t>
  </si>
  <si>
    <r>
      <t xml:space="preserve">Olivia </t>
    </r>
    <r>
      <rPr>
        <sz val="11"/>
        <color rgb="FFFF0000"/>
        <rFont val="Times New Roman"/>
        <family val="1"/>
      </rPr>
      <t>(Abs)</t>
    </r>
  </si>
  <si>
    <t>Lucie</t>
  </si>
  <si>
    <t>0/3</t>
  </si>
  <si>
    <t>0/1</t>
  </si>
  <si>
    <t>0/2</t>
  </si>
  <si>
    <t>Historique :</t>
  </si>
  <si>
    <t>Match Veauche 22/10</t>
  </si>
  <si>
    <t>SCORE DU MATCH :</t>
  </si>
  <si>
    <t>REVERMONT / BCVB</t>
  </si>
  <si>
    <t>7/13</t>
  </si>
  <si>
    <t>17/51</t>
  </si>
  <si>
    <t>2/6</t>
  </si>
  <si>
    <t>1/1</t>
  </si>
  <si>
    <t>Match SGOF 12/11</t>
  </si>
  <si>
    <t>Evolution score</t>
  </si>
  <si>
    <t>Cumul =&gt;</t>
  </si>
  <si>
    <t>LE COTEAU / BCVB</t>
  </si>
  <si>
    <r>
      <t xml:space="preserve">Anna </t>
    </r>
    <r>
      <rPr>
        <sz val="11"/>
        <color rgb="FFFF0000"/>
        <rFont val="Times New Roman"/>
        <family val="1"/>
      </rPr>
      <t>(Abs)</t>
    </r>
  </si>
  <si>
    <t>Match REVERMONT 19/11</t>
  </si>
  <si>
    <t>10/19</t>
  </si>
  <si>
    <t>22/54</t>
  </si>
  <si>
    <t>1/2</t>
  </si>
  <si>
    <t>0/4</t>
  </si>
  <si>
    <t>BCVB / MEYZIEU</t>
  </si>
  <si>
    <t>Match LE COTEAU 25/11</t>
  </si>
  <si>
    <t>3/13</t>
  </si>
  <si>
    <t>16/56</t>
  </si>
  <si>
    <t xml:space="preserve">Anna </t>
  </si>
  <si>
    <t xml:space="preserve">Olivia </t>
  </si>
  <si>
    <t>VEAUCHE / BCVB</t>
  </si>
  <si>
    <t>Match MEYZIEU 3/12</t>
  </si>
  <si>
    <t>5/21</t>
  </si>
  <si>
    <t>15/57</t>
  </si>
  <si>
    <t>3/9</t>
  </si>
  <si>
    <r>
      <t xml:space="preserve">Anna </t>
    </r>
    <r>
      <rPr>
        <sz val="11"/>
        <color rgb="FFFF0000"/>
        <rFont val="Times New Roman"/>
        <family val="1"/>
      </rPr>
      <t>(abs)</t>
    </r>
  </si>
  <si>
    <t>AS MUROISE / BCVB</t>
  </si>
  <si>
    <t>U17 Région 2 Phase 2</t>
  </si>
  <si>
    <t>Match VEAUCHE 10/12</t>
  </si>
  <si>
    <t>3/14</t>
  </si>
  <si>
    <t>16/49</t>
  </si>
  <si>
    <t>4/9</t>
  </si>
  <si>
    <t>Match AS MUROISE 14/01</t>
  </si>
  <si>
    <t>4/13</t>
  </si>
  <si>
    <t>22/58</t>
  </si>
  <si>
    <t>3/6</t>
  </si>
  <si>
    <t>BCVB/CTC CENTRE LOIRE</t>
  </si>
  <si>
    <t>BCVB/CALURE</t>
  </si>
  <si>
    <t>Match CTC CENTRE L. 21/01</t>
  </si>
  <si>
    <t>6/10</t>
  </si>
  <si>
    <t>21/53</t>
  </si>
  <si>
    <t>1/4</t>
  </si>
  <si>
    <r>
      <t xml:space="preserve">(Après prolongation </t>
    </r>
    <r>
      <rPr>
        <b/>
        <sz val="11"/>
        <color theme="1"/>
        <rFont val="Times New Roman"/>
        <family val="1"/>
      </rPr>
      <t>=&gt; 55/55 au terme du match</t>
    </r>
    <r>
      <rPr>
        <b/>
        <sz val="11"/>
        <color rgb="FFFF0000"/>
        <rFont val="Times New Roman"/>
        <family val="1"/>
      </rPr>
      <t>)</t>
    </r>
  </si>
  <si>
    <r>
      <rPr>
        <b/>
        <i/>
        <sz val="11"/>
        <color rgb="FFFF0000"/>
        <rFont val="Times New Roman"/>
        <family val="1"/>
      </rPr>
      <t>Prolongation</t>
    </r>
    <r>
      <rPr>
        <b/>
        <i/>
        <sz val="11"/>
        <color theme="1"/>
        <rFont val="Times New Roman"/>
        <family val="1"/>
      </rPr>
      <t xml:space="preserve"> 1/4 tps</t>
    </r>
  </si>
  <si>
    <t>8/19</t>
  </si>
  <si>
    <t>26/55</t>
  </si>
  <si>
    <t>1/9</t>
  </si>
  <si>
    <t>Match CALUIRE 28/01</t>
  </si>
  <si>
    <t xml:space="preserve"> </t>
  </si>
  <si>
    <t>8/16</t>
  </si>
  <si>
    <t>11/38</t>
  </si>
  <si>
    <t>LE PUY EN VELAY/BCVB</t>
  </si>
  <si>
    <r>
      <t xml:space="preserve">Fanny </t>
    </r>
    <r>
      <rPr>
        <sz val="11"/>
        <color rgb="FFFF0000"/>
        <rFont val="Times New Roman"/>
        <family val="1"/>
      </rPr>
      <t>(Abs)</t>
    </r>
  </si>
  <si>
    <t>Match LE PUY 03/02</t>
  </si>
  <si>
    <t>6/17</t>
  </si>
  <si>
    <t>24/63</t>
  </si>
  <si>
    <t>BCVB/NEUVILLE</t>
  </si>
  <si>
    <t xml:space="preserve">Fanny </t>
  </si>
  <si>
    <t>10/29</t>
  </si>
  <si>
    <t>31/64</t>
  </si>
  <si>
    <t>Match NEUVILLE (4/3)</t>
  </si>
  <si>
    <t>BCVB/AS MUROISE</t>
  </si>
  <si>
    <t>CTC CENTRE LOIRE / BCVB</t>
  </si>
  <si>
    <t>75/36</t>
  </si>
  <si>
    <t>Match AS MUROISE (11/3)</t>
  </si>
  <si>
    <t>6/12</t>
  </si>
  <si>
    <t>30/58</t>
  </si>
  <si>
    <t>5/10</t>
  </si>
  <si>
    <t>Match CTC LOIRE (17/3)</t>
  </si>
  <si>
    <t>10/27</t>
  </si>
  <si>
    <t>13/46</t>
  </si>
  <si>
    <t>0/6</t>
  </si>
  <si>
    <t>CALUIRE / BCVB</t>
  </si>
  <si>
    <t>BCVB LE PUY EN VELAY</t>
  </si>
  <si>
    <t>13/26</t>
  </si>
  <si>
    <t>21/57</t>
  </si>
  <si>
    <t>2/4</t>
  </si>
  <si>
    <t>Match CALUIRE (25/03)</t>
  </si>
  <si>
    <t>D</t>
  </si>
  <si>
    <t>V</t>
  </si>
  <si>
    <t>Match CTC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</si>
</sst>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B05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2" fontId="2" fillId="0" borderId="0" xfId="0" applyNumberFormat="1" applyFont="1" applyBorder="1" applyAlignment="1">
      <alignment horizontal="center"/>
    </xf>
    <xf numFmtId="12" fontId="2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2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2" fontId="4" fillId="2" borderId="0" xfId="0" applyNumberFormat="1" applyFont="1" applyFill="1" applyAlignment="1">
      <alignment horizontal="center"/>
    </xf>
    <xf numFmtId="9" fontId="5" fillId="0" borderId="0" xfId="1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2" fontId="4" fillId="0" borderId="0" xfId="0" applyNumberFormat="1" applyFont="1" applyBorder="1" applyAlignment="1">
      <alignment horizontal="center"/>
    </xf>
    <xf numFmtId="12" fontId="4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2" fontId="4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12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0" borderId="0" xfId="0" applyFont="1"/>
    <xf numFmtId="0" fontId="5" fillId="0" borderId="0" xfId="0" applyFont="1"/>
    <xf numFmtId="0" fontId="4" fillId="0" borderId="12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6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6" fontId="4" fillId="5" borderId="6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V27"/>
  <sheetViews>
    <sheetView workbookViewId="0">
      <selection activeCell="AQ18" sqref="AQ18:AV18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6" width="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3.8554687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3.85546875" style="1" bestFit="1" customWidth="1"/>
    <col min="32" max="33" width="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3.28515625" style="1" bestFit="1" customWidth="1"/>
    <col min="39" max="39" width="3.7109375" style="1" bestFit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2" spans="2:48" x14ac:dyDescent="0.25">
      <c r="B2" s="40" t="s">
        <v>34</v>
      </c>
      <c r="C2" s="1" t="s">
        <v>35</v>
      </c>
      <c r="I2" s="40" t="s">
        <v>38</v>
      </c>
      <c r="K2" s="52">
        <v>43030</v>
      </c>
      <c r="L2" s="52"/>
      <c r="M2" s="52"/>
      <c r="N2" s="52"/>
    </row>
    <row r="3" spans="2:48" x14ac:dyDescent="0.25">
      <c r="B3" s="40" t="s">
        <v>36</v>
      </c>
      <c r="C3" s="1" t="s">
        <v>37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24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>
        <v>5</v>
      </c>
      <c r="D7" s="7" t="str">
        <f>"2/2"</f>
        <v>2/2</v>
      </c>
      <c r="E7" s="7"/>
      <c r="F7" s="7" t="str">
        <f>"1/1"</f>
        <v>1/1</v>
      </c>
      <c r="G7" s="6"/>
      <c r="H7" s="6"/>
      <c r="I7" s="6">
        <v>2</v>
      </c>
      <c r="J7" s="6">
        <v>3</v>
      </c>
      <c r="K7" s="6">
        <v>1</v>
      </c>
      <c r="L7" s="5"/>
      <c r="M7" s="7"/>
      <c r="N7" s="7" t="str">
        <f>"0/1"</f>
        <v>0/1</v>
      </c>
      <c r="O7" s="7"/>
      <c r="P7" s="6"/>
      <c r="Q7" s="6">
        <v>3</v>
      </c>
      <c r="R7" s="6"/>
      <c r="S7" s="6">
        <v>1</v>
      </c>
      <c r="T7" s="6"/>
      <c r="U7" s="5"/>
      <c r="V7" s="7" t="str">
        <f>"0/2"</f>
        <v>0/2</v>
      </c>
      <c r="W7" s="7" t="str">
        <f>"0/3"</f>
        <v>0/3</v>
      </c>
      <c r="X7" s="7"/>
      <c r="Y7" s="6"/>
      <c r="Z7" s="6">
        <v>2</v>
      </c>
      <c r="AA7" s="6">
        <v>3</v>
      </c>
      <c r="AB7" s="6">
        <v>1</v>
      </c>
      <c r="AC7" s="6">
        <v>1</v>
      </c>
      <c r="AD7" s="5"/>
      <c r="AE7" s="7"/>
      <c r="AF7" s="7" t="str">
        <f>"0/1"</f>
        <v>0/1</v>
      </c>
      <c r="AG7" s="7"/>
      <c r="AH7" s="6"/>
      <c r="AI7" s="6">
        <v>1</v>
      </c>
      <c r="AJ7" s="6"/>
      <c r="AK7" s="6"/>
      <c r="AL7" s="6">
        <v>1</v>
      </c>
      <c r="AM7" s="25">
        <f>C7+L7+U7+AD7</f>
        <v>5</v>
      </c>
      <c r="AN7" s="26" t="str">
        <f>"2/4"</f>
        <v>2/4</v>
      </c>
      <c r="AO7" s="26" t="str">
        <f>"0/5"</f>
        <v>0/5</v>
      </c>
      <c r="AP7" s="26" t="str">
        <f>"1/1"</f>
        <v>1/1</v>
      </c>
      <c r="AQ7" s="32">
        <f>G7+P7+Y7+AH7</f>
        <v>0</v>
      </c>
      <c r="AR7" s="28">
        <f>H7+Q7+Z7+AI7</f>
        <v>6</v>
      </c>
      <c r="AS7" s="27">
        <f t="shared" ref="AS7" si="0">I7+R7+AA7+AJ7</f>
        <v>5</v>
      </c>
      <c r="AT7" s="29">
        <f>AR7+AS7</f>
        <v>11</v>
      </c>
      <c r="AU7" s="27">
        <f>J7+S7+AB7+AK7</f>
        <v>5</v>
      </c>
      <c r="AV7" s="37">
        <f>K7+T7+AC7+AL7</f>
        <v>3</v>
      </c>
    </row>
    <row r="8" spans="2:48" x14ac:dyDescent="0.25">
      <c r="B8" s="5" t="s">
        <v>10</v>
      </c>
      <c r="C8" s="5">
        <v>1</v>
      </c>
      <c r="D8" s="7" t="str">
        <f>"1/2"</f>
        <v>1/2</v>
      </c>
      <c r="E8" s="7" t="str">
        <f>"0/1"</f>
        <v>0/1</v>
      </c>
      <c r="F8" s="7"/>
      <c r="G8" s="6"/>
      <c r="H8" s="6"/>
      <c r="I8" s="6"/>
      <c r="J8" s="6"/>
      <c r="K8" s="6"/>
      <c r="L8" s="5"/>
      <c r="M8" s="7"/>
      <c r="N8" s="7" t="str">
        <f>"0/2"</f>
        <v>0/2</v>
      </c>
      <c r="O8" s="7"/>
      <c r="P8" s="6"/>
      <c r="Q8" s="6"/>
      <c r="R8" s="6"/>
      <c r="S8" s="6"/>
      <c r="T8" s="6"/>
      <c r="U8" s="5">
        <v>1</v>
      </c>
      <c r="V8" s="7" t="str">
        <f>"1/2"</f>
        <v>1/2</v>
      </c>
      <c r="W8" s="7" t="str">
        <f>"0/1"</f>
        <v>0/1</v>
      </c>
      <c r="X8" s="7"/>
      <c r="Y8" s="6"/>
      <c r="Z8" s="6"/>
      <c r="AA8" s="6"/>
      <c r="AB8" s="6">
        <v>1</v>
      </c>
      <c r="AC8" s="6"/>
      <c r="AD8" s="5"/>
      <c r="AE8" s="7"/>
      <c r="AF8" s="7"/>
      <c r="AG8" s="7"/>
      <c r="AH8" s="6"/>
      <c r="AI8" s="6">
        <v>1</v>
      </c>
      <c r="AJ8" s="6"/>
      <c r="AK8" s="6"/>
      <c r="AL8" s="6">
        <v>1</v>
      </c>
      <c r="AM8" s="15">
        <f>C8+L8+U8+AD8</f>
        <v>2</v>
      </c>
      <c r="AN8" s="19" t="str">
        <f>"2/4"</f>
        <v>2/4</v>
      </c>
      <c r="AO8" s="19" t="str">
        <f>"0/4"</f>
        <v>0/4</v>
      </c>
      <c r="AP8" s="19"/>
      <c r="AQ8" s="33">
        <f t="shared" ref="AQ8:AQ17" si="1">G8+P8+Y8+AH8</f>
        <v>0</v>
      </c>
      <c r="AR8" s="21">
        <f t="shared" ref="AR8:AR17" si="2">H8+Q8+Z8+AI8</f>
        <v>1</v>
      </c>
      <c r="AS8" s="6">
        <f t="shared" ref="AS8:AS17" si="3">I8+R8+AA8+AJ8</f>
        <v>0</v>
      </c>
      <c r="AT8" s="22">
        <f t="shared" ref="AT8:AT17" si="4">AR8+AS8</f>
        <v>1</v>
      </c>
      <c r="AU8" s="6">
        <f t="shared" ref="AU8:AU17" si="5">J8+S8+AB8+AK8</f>
        <v>1</v>
      </c>
      <c r="AV8" s="38">
        <f t="shared" ref="AV8:AV17" si="6">K8+T8+AC8+AL8</f>
        <v>1</v>
      </c>
    </row>
    <row r="9" spans="2:48" x14ac:dyDescent="0.25">
      <c r="B9" s="5" t="s">
        <v>11</v>
      </c>
      <c r="C9" s="5">
        <v>2</v>
      </c>
      <c r="D9" s="7"/>
      <c r="E9" s="7" t="str">
        <f>"1/2"</f>
        <v>1/2</v>
      </c>
      <c r="F9" s="7"/>
      <c r="G9" s="6"/>
      <c r="H9" s="6"/>
      <c r="I9" s="6"/>
      <c r="J9" s="6">
        <v>3</v>
      </c>
      <c r="K9" s="6"/>
      <c r="L9" s="5"/>
      <c r="M9" s="7"/>
      <c r="N9" s="7" t="str">
        <f>"0/1"</f>
        <v>0/1</v>
      </c>
      <c r="O9" s="7"/>
      <c r="P9" s="6"/>
      <c r="Q9" s="6"/>
      <c r="R9" s="6"/>
      <c r="S9" s="6"/>
      <c r="T9" s="6"/>
      <c r="U9" s="5">
        <v>2</v>
      </c>
      <c r="V9" s="7"/>
      <c r="W9" s="7" t="str">
        <f>"1/2"</f>
        <v>1/2</v>
      </c>
      <c r="X9" s="7"/>
      <c r="Y9" s="6"/>
      <c r="Z9" s="6"/>
      <c r="AA9" s="6"/>
      <c r="AB9" s="6">
        <v>3</v>
      </c>
      <c r="AC9" s="6">
        <v>2</v>
      </c>
      <c r="AD9" s="5"/>
      <c r="AE9" s="7"/>
      <c r="AF9" s="7"/>
      <c r="AG9" s="7"/>
      <c r="AH9" s="6"/>
      <c r="AI9" s="6"/>
      <c r="AJ9" s="6"/>
      <c r="AK9" s="6">
        <v>1</v>
      </c>
      <c r="AL9" s="6">
        <v>1</v>
      </c>
      <c r="AM9" s="15">
        <f>C9+L9+U9+AD9</f>
        <v>4</v>
      </c>
      <c r="AN9" s="19"/>
      <c r="AO9" s="19" t="str">
        <f>"2/5"</f>
        <v>2/5</v>
      </c>
      <c r="AP9" s="19"/>
      <c r="AQ9" s="33">
        <f t="shared" si="1"/>
        <v>0</v>
      </c>
      <c r="AR9" s="21">
        <f t="shared" si="2"/>
        <v>0</v>
      </c>
      <c r="AS9" s="6">
        <f t="shared" si="3"/>
        <v>0</v>
      </c>
      <c r="AT9" s="22">
        <f t="shared" si="4"/>
        <v>0</v>
      </c>
      <c r="AU9" s="6">
        <f t="shared" si="5"/>
        <v>7</v>
      </c>
      <c r="AV9" s="38">
        <f t="shared" si="6"/>
        <v>3</v>
      </c>
    </row>
    <row r="10" spans="2:48" x14ac:dyDescent="0.25">
      <c r="B10" s="5" t="s">
        <v>12</v>
      </c>
      <c r="C10" s="5">
        <v>0</v>
      </c>
      <c r="D10" s="7"/>
      <c r="E10" s="7" t="str">
        <f>"0/2"</f>
        <v>0/2</v>
      </c>
      <c r="F10" s="7"/>
      <c r="G10" s="6"/>
      <c r="H10" s="6">
        <v>3</v>
      </c>
      <c r="I10" s="6"/>
      <c r="J10" s="6">
        <v>1</v>
      </c>
      <c r="K10" s="6">
        <v>1</v>
      </c>
      <c r="L10" s="5">
        <v>4</v>
      </c>
      <c r="M10" s="7" t="str">
        <f>"2/4"</f>
        <v>2/4</v>
      </c>
      <c r="N10" s="7" t="str">
        <f>"1/2"</f>
        <v>1/2</v>
      </c>
      <c r="O10" s="7"/>
      <c r="P10" s="6"/>
      <c r="Q10" s="6">
        <v>1</v>
      </c>
      <c r="R10" s="6">
        <v>1</v>
      </c>
      <c r="S10" s="6">
        <v>1</v>
      </c>
      <c r="T10" s="6">
        <v>1</v>
      </c>
      <c r="U10" s="5"/>
      <c r="V10" s="7"/>
      <c r="W10" s="7"/>
      <c r="X10" s="7"/>
      <c r="Y10" s="6"/>
      <c r="Z10" s="6"/>
      <c r="AA10" s="6"/>
      <c r="AB10" s="6">
        <v>1</v>
      </c>
      <c r="AC10" s="6"/>
      <c r="AD10" s="5">
        <v>2</v>
      </c>
      <c r="AE10" s="7"/>
      <c r="AF10" s="7" t="str">
        <f>"1/2"</f>
        <v>1/2</v>
      </c>
      <c r="AG10" s="7"/>
      <c r="AH10" s="6">
        <v>1</v>
      </c>
      <c r="AI10" s="6"/>
      <c r="AJ10" s="6"/>
      <c r="AK10" s="6">
        <v>2</v>
      </c>
      <c r="AL10" s="6"/>
      <c r="AM10" s="15">
        <f>C10+L10+U10+AD10</f>
        <v>6</v>
      </c>
      <c r="AN10" s="19" t="str">
        <f>"2/4"</f>
        <v>2/4</v>
      </c>
      <c r="AO10" s="19" t="str">
        <f>"2/6"</f>
        <v>2/6</v>
      </c>
      <c r="AP10" s="19"/>
      <c r="AQ10" s="33">
        <f t="shared" si="1"/>
        <v>1</v>
      </c>
      <c r="AR10" s="21">
        <f t="shared" si="2"/>
        <v>4</v>
      </c>
      <c r="AS10" s="6">
        <f t="shared" si="3"/>
        <v>1</v>
      </c>
      <c r="AT10" s="22">
        <f t="shared" si="4"/>
        <v>5</v>
      </c>
      <c r="AU10" s="6">
        <f t="shared" si="5"/>
        <v>5</v>
      </c>
      <c r="AV10" s="38">
        <f t="shared" si="6"/>
        <v>2</v>
      </c>
    </row>
    <row r="11" spans="2:48" x14ac:dyDescent="0.25">
      <c r="B11" s="5" t="s">
        <v>24</v>
      </c>
      <c r="C11" s="5"/>
      <c r="D11" s="7"/>
      <c r="E11" s="7"/>
      <c r="F11" s="7"/>
      <c r="G11" s="6"/>
      <c r="H11" s="6"/>
      <c r="I11" s="6"/>
      <c r="J11" s="6"/>
      <c r="K11" s="6"/>
      <c r="L11" s="5"/>
      <c r="M11" s="7"/>
      <c r="N11" s="7"/>
      <c r="O11" s="7"/>
      <c r="P11" s="6"/>
      <c r="Q11" s="6"/>
      <c r="R11" s="6"/>
      <c r="S11" s="6"/>
      <c r="T11" s="6"/>
      <c r="U11" s="5"/>
      <c r="V11" s="7"/>
      <c r="W11" s="7"/>
      <c r="X11" s="7"/>
      <c r="Y11" s="6"/>
      <c r="Z11" s="6"/>
      <c r="AA11" s="6"/>
      <c r="AB11" s="6"/>
      <c r="AC11" s="6"/>
      <c r="AD11" s="5"/>
      <c r="AE11" s="7"/>
      <c r="AF11" s="7"/>
      <c r="AG11" s="7"/>
      <c r="AH11" s="6"/>
      <c r="AI11" s="6"/>
      <c r="AJ11" s="6"/>
      <c r="AK11" s="6"/>
      <c r="AL11" s="6"/>
      <c r="AM11" s="15">
        <f t="shared" ref="AM11:AM12" si="7">C11+L11+U11+AD11</f>
        <v>0</v>
      </c>
      <c r="AN11" s="19"/>
      <c r="AO11" s="19"/>
      <c r="AP11" s="19"/>
      <c r="AQ11" s="33">
        <f t="shared" si="1"/>
        <v>0</v>
      </c>
      <c r="AR11" s="21">
        <f t="shared" si="2"/>
        <v>0</v>
      </c>
      <c r="AS11" s="6">
        <f t="shared" si="3"/>
        <v>0</v>
      </c>
      <c r="AT11" s="22">
        <f t="shared" si="4"/>
        <v>0</v>
      </c>
      <c r="AU11" s="6">
        <f t="shared" si="5"/>
        <v>0</v>
      </c>
      <c r="AV11" s="38">
        <f t="shared" si="6"/>
        <v>0</v>
      </c>
    </row>
    <row r="12" spans="2:48" x14ac:dyDescent="0.25">
      <c r="B12" s="5" t="s">
        <v>13</v>
      </c>
      <c r="C12" s="5"/>
      <c r="D12" s="7"/>
      <c r="E12" s="7" t="str">
        <f>"0/1"</f>
        <v>0/1</v>
      </c>
      <c r="F12" s="7"/>
      <c r="G12" s="6"/>
      <c r="H12" s="6">
        <v>1</v>
      </c>
      <c r="I12" s="6"/>
      <c r="J12" s="6">
        <v>1</v>
      </c>
      <c r="K12" s="6"/>
      <c r="L12" s="5"/>
      <c r="M12" s="7"/>
      <c r="N12" s="7"/>
      <c r="O12" s="7"/>
      <c r="P12" s="6"/>
      <c r="Q12" s="6"/>
      <c r="R12" s="6"/>
      <c r="S12" s="6">
        <v>3</v>
      </c>
      <c r="T12" s="6"/>
      <c r="U12" s="5">
        <v>1</v>
      </c>
      <c r="V12" s="7" t="str">
        <f>"1/2"</f>
        <v>1/2</v>
      </c>
      <c r="W12" s="7"/>
      <c r="X12" s="7"/>
      <c r="Y12" s="6"/>
      <c r="Z12" s="6"/>
      <c r="AA12" s="6"/>
      <c r="AB12" s="6">
        <v>1</v>
      </c>
      <c r="AC12" s="6"/>
      <c r="AD12" s="5">
        <v>2</v>
      </c>
      <c r="AE12" s="7"/>
      <c r="AF12" s="7" t="str">
        <f>"1/1"</f>
        <v>1/1</v>
      </c>
      <c r="AG12" s="7"/>
      <c r="AH12" s="6"/>
      <c r="AI12" s="6"/>
      <c r="AJ12" s="6"/>
      <c r="AK12" s="6">
        <v>3</v>
      </c>
      <c r="AL12" s="6">
        <v>1</v>
      </c>
      <c r="AM12" s="15">
        <f t="shared" si="7"/>
        <v>3</v>
      </c>
      <c r="AN12" s="19" t="str">
        <f>"1/2"</f>
        <v>1/2</v>
      </c>
      <c r="AO12" s="19" t="str">
        <f>"1/2"</f>
        <v>1/2</v>
      </c>
      <c r="AP12" s="19"/>
      <c r="AQ12" s="33">
        <f t="shared" si="1"/>
        <v>0</v>
      </c>
      <c r="AR12" s="21">
        <f t="shared" si="2"/>
        <v>1</v>
      </c>
      <c r="AS12" s="6">
        <f t="shared" si="3"/>
        <v>0</v>
      </c>
      <c r="AT12" s="22">
        <f t="shared" si="4"/>
        <v>1</v>
      </c>
      <c r="AU12" s="6">
        <f t="shared" si="5"/>
        <v>8</v>
      </c>
      <c r="AV12" s="38">
        <f t="shared" si="6"/>
        <v>1</v>
      </c>
    </row>
    <row r="13" spans="2:48" x14ac:dyDescent="0.25">
      <c r="B13" s="5" t="s">
        <v>4</v>
      </c>
      <c r="C13" s="5">
        <v>2</v>
      </c>
      <c r="D13" s="7"/>
      <c r="E13" s="7" t="str">
        <f>"1/2"</f>
        <v>1/2</v>
      </c>
      <c r="F13" s="7"/>
      <c r="G13" s="6"/>
      <c r="H13" s="6"/>
      <c r="I13" s="6"/>
      <c r="J13" s="6">
        <v>1</v>
      </c>
      <c r="K13" s="6">
        <v>1</v>
      </c>
      <c r="L13" s="5">
        <v>2</v>
      </c>
      <c r="M13" s="7"/>
      <c r="N13" s="7" t="str">
        <f>"1/1"</f>
        <v>1/1</v>
      </c>
      <c r="O13" s="7"/>
      <c r="P13" s="6">
        <v>1</v>
      </c>
      <c r="Q13" s="6">
        <v>1</v>
      </c>
      <c r="R13" s="6"/>
      <c r="S13" s="6"/>
      <c r="T13" s="6">
        <v>1</v>
      </c>
      <c r="U13" s="5">
        <v>1</v>
      </c>
      <c r="V13" s="7" t="str">
        <f>"1/2"</f>
        <v>1/2</v>
      </c>
      <c r="W13" s="7" t="str">
        <f>"0/1"</f>
        <v>0/1</v>
      </c>
      <c r="X13" s="7"/>
      <c r="Y13" s="6"/>
      <c r="Z13" s="6"/>
      <c r="AA13" s="6">
        <v>1</v>
      </c>
      <c r="AB13" s="6"/>
      <c r="AC13" s="6">
        <v>1</v>
      </c>
      <c r="AD13" s="5">
        <v>4</v>
      </c>
      <c r="AE13" s="7"/>
      <c r="AF13" s="7" t="str">
        <f>"2/5"</f>
        <v>2/5</v>
      </c>
      <c r="AG13" s="7"/>
      <c r="AH13" s="6"/>
      <c r="AI13" s="6"/>
      <c r="AJ13" s="6"/>
      <c r="AK13" s="6">
        <v>1</v>
      </c>
      <c r="AL13" s="6"/>
      <c r="AM13" s="15">
        <f>C13+L13+U13+AD13</f>
        <v>9</v>
      </c>
      <c r="AN13" s="19" t="str">
        <f>"1/2"</f>
        <v>1/2</v>
      </c>
      <c r="AO13" s="19" t="str">
        <f>"4/9"</f>
        <v>4/9</v>
      </c>
      <c r="AP13" s="19"/>
      <c r="AQ13" s="33">
        <f t="shared" si="1"/>
        <v>1</v>
      </c>
      <c r="AR13" s="21">
        <f t="shared" si="2"/>
        <v>1</v>
      </c>
      <c r="AS13" s="6">
        <f t="shared" si="3"/>
        <v>1</v>
      </c>
      <c r="AT13" s="22">
        <f t="shared" si="4"/>
        <v>2</v>
      </c>
      <c r="AU13" s="6">
        <f t="shared" si="5"/>
        <v>2</v>
      </c>
      <c r="AV13" s="38">
        <f t="shared" si="6"/>
        <v>3</v>
      </c>
    </row>
    <row r="14" spans="2:48" x14ac:dyDescent="0.25">
      <c r="B14" s="5" t="s">
        <v>15</v>
      </c>
      <c r="C14" s="5">
        <v>4</v>
      </c>
      <c r="D14" s="7"/>
      <c r="E14" s="7" t="str">
        <f>"2/2"</f>
        <v>2/2</v>
      </c>
      <c r="F14" s="7"/>
      <c r="G14" s="6"/>
      <c r="H14" s="6"/>
      <c r="I14" s="6"/>
      <c r="J14" s="6">
        <v>3</v>
      </c>
      <c r="K14" s="6">
        <v>3</v>
      </c>
      <c r="L14" s="5"/>
      <c r="M14" s="7"/>
      <c r="N14" s="7" t="str">
        <f>"0/2"</f>
        <v>0/2</v>
      </c>
      <c r="O14" s="7"/>
      <c r="P14" s="6">
        <v>1</v>
      </c>
      <c r="Q14" s="6"/>
      <c r="R14" s="6"/>
      <c r="S14" s="6">
        <v>1</v>
      </c>
      <c r="T14" s="6"/>
      <c r="U14" s="5"/>
      <c r="V14" s="7"/>
      <c r="W14" s="7" t="str">
        <f>"0/1"</f>
        <v>0/1</v>
      </c>
      <c r="X14" s="7"/>
      <c r="Y14" s="6"/>
      <c r="Z14" s="6">
        <v>2</v>
      </c>
      <c r="AA14" s="6"/>
      <c r="AB14" s="6">
        <v>1</v>
      </c>
      <c r="AC14" s="6"/>
      <c r="AD14" s="5"/>
      <c r="AE14" s="7"/>
      <c r="AF14" s="7"/>
      <c r="AG14" s="7"/>
      <c r="AH14" s="6"/>
      <c r="AI14" s="6">
        <v>1</v>
      </c>
      <c r="AJ14" s="6"/>
      <c r="AK14" s="6">
        <v>2</v>
      </c>
      <c r="AL14" s="6">
        <v>1</v>
      </c>
      <c r="AM14" s="15">
        <f>C14+L14+U14+AD14</f>
        <v>4</v>
      </c>
      <c r="AN14" s="19"/>
      <c r="AO14" s="19" t="str">
        <f>"2/5"</f>
        <v>2/5</v>
      </c>
      <c r="AP14" s="19"/>
      <c r="AQ14" s="33">
        <f t="shared" si="1"/>
        <v>1</v>
      </c>
      <c r="AR14" s="21">
        <f t="shared" si="2"/>
        <v>3</v>
      </c>
      <c r="AS14" s="6">
        <f t="shared" si="3"/>
        <v>0</v>
      </c>
      <c r="AT14" s="22">
        <f t="shared" si="4"/>
        <v>3</v>
      </c>
      <c r="AU14" s="6">
        <f t="shared" si="5"/>
        <v>7</v>
      </c>
      <c r="AV14" s="38">
        <f t="shared" si="6"/>
        <v>4</v>
      </c>
    </row>
    <row r="15" spans="2:48" x14ac:dyDescent="0.25">
      <c r="B15" s="5" t="s">
        <v>16</v>
      </c>
      <c r="C15" s="5"/>
      <c r="D15" s="7"/>
      <c r="E15" s="7"/>
      <c r="F15" s="7"/>
      <c r="G15" s="6"/>
      <c r="H15" s="6"/>
      <c r="I15" s="6"/>
      <c r="J15" s="6"/>
      <c r="K15" s="6"/>
      <c r="L15" s="5"/>
      <c r="M15" s="7"/>
      <c r="N15" s="7"/>
      <c r="O15" s="7"/>
      <c r="P15" s="6"/>
      <c r="Q15" s="6"/>
      <c r="R15" s="6"/>
      <c r="S15" s="6"/>
      <c r="T15" s="6">
        <v>1</v>
      </c>
      <c r="U15" s="5"/>
      <c r="V15" s="7"/>
      <c r="W15" s="7" t="str">
        <f>"0/2"</f>
        <v>0/2</v>
      </c>
      <c r="X15" s="7"/>
      <c r="Y15" s="6"/>
      <c r="Z15" s="6"/>
      <c r="AA15" s="6"/>
      <c r="AB15" s="6"/>
      <c r="AC15" s="6"/>
      <c r="AD15" s="5"/>
      <c r="AE15" s="7"/>
      <c r="AF15" s="7"/>
      <c r="AG15" s="7"/>
      <c r="AH15" s="6"/>
      <c r="AI15" s="6"/>
      <c r="AJ15" s="6"/>
      <c r="AK15" s="6">
        <v>2</v>
      </c>
      <c r="AL15" s="6"/>
      <c r="AM15" s="15">
        <f>C15+L15+U15+AD15</f>
        <v>0</v>
      </c>
      <c r="AN15" s="19"/>
      <c r="AO15" s="19" t="str">
        <f>"0/2"</f>
        <v>0/2</v>
      </c>
      <c r="AP15" s="19"/>
      <c r="AQ15" s="33">
        <f t="shared" si="1"/>
        <v>0</v>
      </c>
      <c r="AR15" s="21">
        <f t="shared" si="2"/>
        <v>0</v>
      </c>
      <c r="AS15" s="6">
        <f t="shared" si="3"/>
        <v>0</v>
      </c>
      <c r="AT15" s="22">
        <f t="shared" si="4"/>
        <v>0</v>
      </c>
      <c r="AU15" s="6">
        <f t="shared" si="5"/>
        <v>2</v>
      </c>
      <c r="AV15" s="38">
        <f t="shared" si="6"/>
        <v>1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1"/>
        <v>0</v>
      </c>
      <c r="AR16" s="21">
        <f t="shared" si="2"/>
        <v>0</v>
      </c>
      <c r="AS16" s="6">
        <f t="shared" si="3"/>
        <v>0</v>
      </c>
      <c r="AT16" s="22">
        <f t="shared" si="4"/>
        <v>0</v>
      </c>
      <c r="AU16" s="6">
        <f t="shared" si="5"/>
        <v>0</v>
      </c>
      <c r="AV16" s="38">
        <f t="shared" si="6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1"/>
        <v>0</v>
      </c>
      <c r="AR17" s="30">
        <f t="shared" si="2"/>
        <v>0</v>
      </c>
      <c r="AS17" s="4">
        <f t="shared" si="3"/>
        <v>0</v>
      </c>
      <c r="AT17" s="31">
        <f t="shared" si="4"/>
        <v>0</v>
      </c>
      <c r="AU17" s="4">
        <f t="shared" si="5"/>
        <v>0</v>
      </c>
      <c r="AV17" s="39">
        <f t="shared" si="6"/>
        <v>0</v>
      </c>
    </row>
    <row r="18" spans="2:48" s="9" customFormat="1" ht="14.25" x14ac:dyDescent="0.2">
      <c r="C18" s="11">
        <f>SUM(C7:C17)</f>
        <v>14</v>
      </c>
      <c r="D18" s="10" t="str">
        <f>"3/4"</f>
        <v>3/4</v>
      </c>
      <c r="E18" s="10" t="str">
        <f>"4/10"</f>
        <v>4/10</v>
      </c>
      <c r="F18" s="10" t="str">
        <f>"1/1"</f>
        <v>1/1</v>
      </c>
      <c r="G18" s="9">
        <f>SUM(G7:G17)</f>
        <v>0</v>
      </c>
      <c r="H18" s="9">
        <f t="shared" ref="H18:K18" si="8">SUM(H7:H17)</f>
        <v>4</v>
      </c>
      <c r="I18" s="9">
        <f t="shared" si="8"/>
        <v>2</v>
      </c>
      <c r="J18" s="9">
        <f t="shared" si="8"/>
        <v>12</v>
      </c>
      <c r="K18" s="9">
        <f t="shared" si="8"/>
        <v>6</v>
      </c>
      <c r="L18" s="11">
        <f>SUM(L7:L17)</f>
        <v>6</v>
      </c>
      <c r="M18" s="10" t="str">
        <f>"2/4"</f>
        <v>2/4</v>
      </c>
      <c r="N18" s="10" t="str">
        <f>"2/9"</f>
        <v>2/9</v>
      </c>
      <c r="P18" s="9">
        <f>SUM(P7:P17)</f>
        <v>2</v>
      </c>
      <c r="Q18" s="9">
        <f t="shared" ref="Q18" si="9">SUM(Q7:Q17)</f>
        <v>5</v>
      </c>
      <c r="R18" s="9">
        <f t="shared" ref="R18" si="10">SUM(R7:R17)</f>
        <v>1</v>
      </c>
      <c r="S18" s="9">
        <f t="shared" ref="S18" si="11">SUM(S7:S17)</f>
        <v>6</v>
      </c>
      <c r="T18" s="9">
        <f t="shared" ref="T18" si="12">SUM(T7:T17)</f>
        <v>3</v>
      </c>
      <c r="U18" s="11">
        <f>SUM(U7:U17)</f>
        <v>5</v>
      </c>
      <c r="V18" s="10" t="str">
        <f>"3/8"</f>
        <v>3/8</v>
      </c>
      <c r="W18" s="10" t="str">
        <f>"1/10"</f>
        <v>1/10</v>
      </c>
      <c r="Y18" s="9">
        <f>SUM(Y7:Y17)</f>
        <v>0</v>
      </c>
      <c r="Z18" s="9">
        <f t="shared" ref="Z18" si="13">SUM(Z7:Z17)</f>
        <v>4</v>
      </c>
      <c r="AA18" s="9">
        <f t="shared" ref="AA18" si="14">SUM(AA7:AA17)</f>
        <v>4</v>
      </c>
      <c r="AB18" s="9">
        <f t="shared" ref="AB18" si="15">SUM(AB7:AB17)</f>
        <v>8</v>
      </c>
      <c r="AC18" s="9">
        <f t="shared" ref="AC18" si="16">SUM(AC7:AC17)</f>
        <v>4</v>
      </c>
      <c r="AD18" s="11">
        <f>SUM(AD7:AD17)</f>
        <v>8</v>
      </c>
      <c r="AE18" s="10"/>
      <c r="AF18" s="10" t="str">
        <f>"4/9"</f>
        <v>4/9</v>
      </c>
      <c r="AH18" s="9">
        <f>SUM(AH7:AH17)</f>
        <v>1</v>
      </c>
      <c r="AI18" s="9">
        <f t="shared" ref="AI18" si="17">SUM(AI7:AI17)</f>
        <v>3</v>
      </c>
      <c r="AJ18" s="9">
        <f t="shared" ref="AJ18" si="18">SUM(AJ7:AJ17)</f>
        <v>0</v>
      </c>
      <c r="AK18" s="9">
        <f t="shared" ref="AK18" si="19">SUM(AK7:AK17)</f>
        <v>11</v>
      </c>
      <c r="AL18" s="9">
        <f t="shared" ref="AL18" si="20">SUM(AL7:AL17)</f>
        <v>5</v>
      </c>
      <c r="AM18" s="12">
        <f>SUM(AM7:AM17)</f>
        <v>33</v>
      </c>
      <c r="AN18" s="13" t="str">
        <f>"8/16"</f>
        <v>8/16</v>
      </c>
      <c r="AO18" s="13" t="str">
        <f>"11/38"</f>
        <v>11/38</v>
      </c>
      <c r="AP18" s="13" t="str">
        <f>"1/1"</f>
        <v>1/1</v>
      </c>
      <c r="AQ18" s="11">
        <f t="shared" ref="AQ18" si="21">SUM(AQ7:AQ17)</f>
        <v>3</v>
      </c>
      <c r="AR18" s="11">
        <f t="shared" ref="AR18:AV18" si="22">SUM(AR7:AR17)</f>
        <v>16</v>
      </c>
      <c r="AS18" s="11">
        <f t="shared" si="22"/>
        <v>7</v>
      </c>
      <c r="AT18" s="11">
        <f t="shared" si="22"/>
        <v>23</v>
      </c>
      <c r="AU18" s="11">
        <f t="shared" si="22"/>
        <v>37</v>
      </c>
      <c r="AV18" s="11">
        <f t="shared" si="22"/>
        <v>18</v>
      </c>
    </row>
    <row r="19" spans="2:48" x14ac:dyDescent="0.25">
      <c r="AN19" s="14">
        <f>8/16</f>
        <v>0.5</v>
      </c>
      <c r="AO19" s="14">
        <f>11/38</f>
        <v>0.28947368421052633</v>
      </c>
      <c r="AP19" s="14">
        <f>1/1</f>
        <v>1</v>
      </c>
    </row>
    <row r="20" spans="2:48" x14ac:dyDescent="0.25">
      <c r="B20" s="41" t="s">
        <v>25</v>
      </c>
    </row>
    <row r="21" spans="2:48" x14ac:dyDescent="0.25">
      <c r="C21" s="1" t="s">
        <v>28</v>
      </c>
      <c r="D21" s="1" t="s">
        <v>26</v>
      </c>
    </row>
    <row r="22" spans="2:48" x14ac:dyDescent="0.25">
      <c r="C22" s="1" t="s">
        <v>20</v>
      </c>
      <c r="D22" s="1" t="s">
        <v>27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</row>
    <row r="25" spans="2:48" x14ac:dyDescent="0.25">
      <c r="C25" s="1" t="s">
        <v>23</v>
      </c>
      <c r="D25" s="1" t="s">
        <v>31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</row>
  </sheetData>
  <mergeCells count="6">
    <mergeCell ref="AM5:AV5"/>
    <mergeCell ref="K2:N2"/>
    <mergeCell ref="C5:K5"/>
    <mergeCell ref="L5:T5"/>
    <mergeCell ref="U5:AC5"/>
    <mergeCell ref="AD5:AL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V46"/>
  <sheetViews>
    <sheetView workbookViewId="0">
      <selection sqref="A1:XFD1048576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4.425781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4.7109375" style="1" customWidth="1"/>
    <col min="39" max="39" width="3.7109375" style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100</v>
      </c>
      <c r="I2" s="40" t="s">
        <v>38</v>
      </c>
      <c r="K2" s="52">
        <v>43134</v>
      </c>
      <c r="L2" s="52"/>
      <c r="M2" s="52"/>
      <c r="N2" s="52"/>
      <c r="Q2" s="45" t="s">
        <v>47</v>
      </c>
      <c r="W2" s="65" t="str">
        <f>"61/63"</f>
        <v>61/63</v>
      </c>
      <c r="X2" s="66"/>
    </row>
    <row r="3" spans="2:48" x14ac:dyDescent="0.25">
      <c r="B3" s="40" t="s">
        <v>36</v>
      </c>
      <c r="C3" s="1" t="s">
        <v>76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>
        <v>6</v>
      </c>
      <c r="D7" s="7"/>
      <c r="E7" s="7" t="str">
        <f>"3/5"</f>
        <v>3/5</v>
      </c>
      <c r="F7" s="7"/>
      <c r="G7" s="6"/>
      <c r="H7" s="6">
        <v>4</v>
      </c>
      <c r="I7" s="6">
        <v>5</v>
      </c>
      <c r="J7" s="6"/>
      <c r="K7" s="6">
        <v>1</v>
      </c>
      <c r="L7" s="5"/>
      <c r="M7" s="7"/>
      <c r="N7" s="7" t="str">
        <f>"0/2"</f>
        <v>0/2</v>
      </c>
      <c r="O7" s="7"/>
      <c r="P7" s="6"/>
      <c r="Q7" s="6">
        <v>2</v>
      </c>
      <c r="R7" s="6">
        <v>1</v>
      </c>
      <c r="S7" s="6"/>
      <c r="T7" s="6"/>
      <c r="U7" s="5">
        <v>4</v>
      </c>
      <c r="V7" s="7"/>
      <c r="W7" s="7" t="str">
        <f>"2/3"</f>
        <v>2/3</v>
      </c>
      <c r="X7" s="7"/>
      <c r="Y7" s="6"/>
      <c r="Z7" s="6">
        <v>1</v>
      </c>
      <c r="AA7" s="6">
        <v>1</v>
      </c>
      <c r="AB7" s="6"/>
      <c r="AC7" s="6">
        <v>1</v>
      </c>
      <c r="AD7" s="5">
        <v>2</v>
      </c>
      <c r="AE7" s="7"/>
      <c r="AF7" s="7" t="str">
        <f>"1/2"</f>
        <v>1/2</v>
      </c>
      <c r="AG7" s="7"/>
      <c r="AH7" s="6"/>
      <c r="AI7" s="6">
        <v>1</v>
      </c>
      <c r="AJ7" s="6">
        <v>1</v>
      </c>
      <c r="AK7" s="6"/>
      <c r="AL7" s="6"/>
      <c r="AM7" s="25">
        <f>C7+L7+U7+AD7</f>
        <v>12</v>
      </c>
      <c r="AN7" s="26"/>
      <c r="AO7" s="26" t="str">
        <f>"6/12"</f>
        <v>6/12</v>
      </c>
      <c r="AP7" s="26"/>
      <c r="AQ7" s="32">
        <f t="shared" ref="AQ7:AS8" si="0">G7+P7+Y7+AH7</f>
        <v>0</v>
      </c>
      <c r="AR7" s="28">
        <f t="shared" si="0"/>
        <v>8</v>
      </c>
      <c r="AS7" s="27">
        <f t="shared" si="0"/>
        <v>8</v>
      </c>
      <c r="AT7" s="29">
        <f>AR7+AS7</f>
        <v>16</v>
      </c>
      <c r="AU7" s="27">
        <f>J7+S7+AB7+AK7</f>
        <v>0</v>
      </c>
      <c r="AV7" s="37">
        <f>K7+T7+AC7+AL7</f>
        <v>2</v>
      </c>
    </row>
    <row r="8" spans="2:48" x14ac:dyDescent="0.25">
      <c r="B8" s="5" t="s">
        <v>12</v>
      </c>
      <c r="C8" s="5">
        <v>2</v>
      </c>
      <c r="D8" s="7"/>
      <c r="E8" s="7" t="str">
        <f>"1/2"</f>
        <v>1/2</v>
      </c>
      <c r="F8" s="7"/>
      <c r="G8" s="6"/>
      <c r="H8" s="6"/>
      <c r="I8" s="6"/>
      <c r="J8" s="6"/>
      <c r="K8" s="6"/>
      <c r="L8" s="5">
        <v>4</v>
      </c>
      <c r="M8" s="7"/>
      <c r="N8" s="7" t="str">
        <f>"2/6"</f>
        <v>2/6</v>
      </c>
      <c r="O8" s="7"/>
      <c r="P8" s="6"/>
      <c r="Q8" s="6">
        <v>2</v>
      </c>
      <c r="R8" s="6">
        <v>6</v>
      </c>
      <c r="S8" s="6">
        <v>1</v>
      </c>
      <c r="T8" s="6">
        <v>1</v>
      </c>
      <c r="U8" s="5">
        <v>3</v>
      </c>
      <c r="V8" s="7" t="str">
        <f>"3/4"</f>
        <v>3/4</v>
      </c>
      <c r="W8" s="7" t="str">
        <f>"0/6"</f>
        <v>0/6</v>
      </c>
      <c r="X8" s="7"/>
      <c r="Y8" s="6">
        <v>1</v>
      </c>
      <c r="Z8" s="6">
        <v>2</v>
      </c>
      <c r="AA8" s="6">
        <v>2</v>
      </c>
      <c r="AB8" s="6"/>
      <c r="AC8" s="6"/>
      <c r="AD8" s="5">
        <v>4</v>
      </c>
      <c r="AE8" s="7" t="str">
        <f>"2/2"</f>
        <v>2/2</v>
      </c>
      <c r="AF8" s="7" t="str">
        <f>"1/3"</f>
        <v>1/3</v>
      </c>
      <c r="AG8" s="7"/>
      <c r="AH8" s="6"/>
      <c r="AI8" s="6">
        <v>1</v>
      </c>
      <c r="AJ8" s="6">
        <v>3</v>
      </c>
      <c r="AK8" s="6">
        <v>1</v>
      </c>
      <c r="AL8" s="6">
        <v>1</v>
      </c>
      <c r="AM8" s="15">
        <f>C8+L8+U8+AD8</f>
        <v>13</v>
      </c>
      <c r="AN8" s="19" t="str">
        <f>"5/6"</f>
        <v>5/6</v>
      </c>
      <c r="AO8" s="19" t="str">
        <f>"4/17"</f>
        <v>4/17</v>
      </c>
      <c r="AP8" s="19"/>
      <c r="AQ8" s="33">
        <f t="shared" si="0"/>
        <v>1</v>
      </c>
      <c r="AR8" s="21">
        <f t="shared" si="0"/>
        <v>5</v>
      </c>
      <c r="AS8" s="6">
        <f t="shared" si="0"/>
        <v>11</v>
      </c>
      <c r="AT8" s="22">
        <f t="shared" ref="AT8:AT17" si="1">AR8+AS8</f>
        <v>16</v>
      </c>
      <c r="AU8" s="6">
        <f>J8+S8+AB8+AK8</f>
        <v>2</v>
      </c>
      <c r="AV8" s="38">
        <f>K8+T8+AC8+AL8</f>
        <v>2</v>
      </c>
    </row>
    <row r="9" spans="2:48" x14ac:dyDescent="0.25">
      <c r="B9" s="5" t="s">
        <v>41</v>
      </c>
      <c r="C9" s="5">
        <v>6</v>
      </c>
      <c r="D9" s="7" t="str">
        <f>"0/5"</f>
        <v>0/5</v>
      </c>
      <c r="E9" s="7" t="str">
        <f>"3/8"</f>
        <v>3/8</v>
      </c>
      <c r="F9" s="7" t="str">
        <f>"0/2"</f>
        <v>0/2</v>
      </c>
      <c r="G9" s="6"/>
      <c r="H9" s="6">
        <v>1</v>
      </c>
      <c r="I9" s="6">
        <v>1</v>
      </c>
      <c r="J9" s="6"/>
      <c r="K9" s="6"/>
      <c r="L9" s="5"/>
      <c r="M9" s="7"/>
      <c r="N9" s="7" t="str">
        <f>"0/2"</f>
        <v>0/2</v>
      </c>
      <c r="O9" s="7"/>
      <c r="P9" s="6"/>
      <c r="Q9" s="6"/>
      <c r="R9" s="6"/>
      <c r="S9" s="6">
        <v>2</v>
      </c>
      <c r="T9" s="6">
        <v>1</v>
      </c>
      <c r="U9" s="5">
        <v>4</v>
      </c>
      <c r="V9" s="7"/>
      <c r="W9" s="7" t="str">
        <f>"2/2"</f>
        <v>2/2</v>
      </c>
      <c r="X9" s="7"/>
      <c r="Y9" s="6"/>
      <c r="Z9" s="6">
        <v>2</v>
      </c>
      <c r="AA9" s="6"/>
      <c r="AB9" s="6"/>
      <c r="AC9" s="6">
        <v>1</v>
      </c>
      <c r="AD9" s="5">
        <v>6</v>
      </c>
      <c r="AE9" s="7" t="str">
        <f>"1/6"</f>
        <v>1/6</v>
      </c>
      <c r="AF9" s="7" t="str">
        <f>"1/1"</f>
        <v>1/1</v>
      </c>
      <c r="AG9" s="7" t="str">
        <f>"1/1"</f>
        <v>1/1</v>
      </c>
      <c r="AH9" s="6"/>
      <c r="AI9" s="6">
        <v>1</v>
      </c>
      <c r="AJ9" s="6"/>
      <c r="AK9" s="6"/>
      <c r="AL9" s="6"/>
      <c r="AM9" s="15">
        <f>C9+L9+U9+AD9</f>
        <v>16</v>
      </c>
      <c r="AN9" s="19" t="str">
        <f>"1/11"</f>
        <v>1/11</v>
      </c>
      <c r="AO9" s="19" t="str">
        <f>"6/13"</f>
        <v>6/13</v>
      </c>
      <c r="AP9" s="19" t="str">
        <f>"1/3"</f>
        <v>1/3</v>
      </c>
      <c r="AQ9" s="33">
        <f>G9+P9+Y9+AH9</f>
        <v>0</v>
      </c>
      <c r="AR9" s="21">
        <f t="shared" ref="AR9:AR10" si="2">H9+Q9+Z9+AI9</f>
        <v>4</v>
      </c>
      <c r="AS9" s="6">
        <f t="shared" ref="AS9:AS10" si="3">I9+R9+AA9+AJ9</f>
        <v>1</v>
      </c>
      <c r="AT9" s="22">
        <f t="shared" si="1"/>
        <v>5</v>
      </c>
      <c r="AU9" s="6">
        <f t="shared" ref="AU9:AU10" si="4">J9+S9+AB9+AK9</f>
        <v>2</v>
      </c>
      <c r="AV9" s="38">
        <f t="shared" ref="AV9:AV10" si="5">K9+T9+AC9+AL9</f>
        <v>2</v>
      </c>
    </row>
    <row r="10" spans="2:48" x14ac:dyDescent="0.25">
      <c r="B10" s="5" t="s">
        <v>10</v>
      </c>
      <c r="C10" s="5"/>
      <c r="D10" s="7"/>
      <c r="E10" s="7" t="str">
        <f>"0/1"</f>
        <v>0/1</v>
      </c>
      <c r="F10" s="7"/>
      <c r="G10" s="6"/>
      <c r="H10" s="6"/>
      <c r="I10" s="6"/>
      <c r="J10" s="6">
        <v>1</v>
      </c>
      <c r="K10" s="6"/>
      <c r="L10" s="5"/>
      <c r="M10" s="7"/>
      <c r="N10" s="7" t="str">
        <f>"0/1"</f>
        <v>0/1</v>
      </c>
      <c r="O10" s="7"/>
      <c r="P10" s="6"/>
      <c r="Q10" s="6"/>
      <c r="R10" s="6"/>
      <c r="S10" s="6"/>
      <c r="T10" s="6"/>
      <c r="U10" s="5"/>
      <c r="V10" s="7"/>
      <c r="W10" s="7"/>
      <c r="X10" s="7"/>
      <c r="Y10" s="6"/>
      <c r="Z10" s="6"/>
      <c r="AA10" s="6"/>
      <c r="AB10" s="6"/>
      <c r="AC10" s="6"/>
      <c r="AD10" s="5"/>
      <c r="AE10" s="7"/>
      <c r="AF10" s="7"/>
      <c r="AG10" s="7"/>
      <c r="AH10" s="6"/>
      <c r="AI10" s="6">
        <v>1</v>
      </c>
      <c r="AJ10" s="6"/>
      <c r="AK10" s="6"/>
      <c r="AL10" s="6"/>
      <c r="AM10" s="15">
        <f>C10+L10+U10+AD10</f>
        <v>0</v>
      </c>
      <c r="AN10" s="19"/>
      <c r="AO10" s="19" t="str">
        <f>"0/2"</f>
        <v>0/2</v>
      </c>
      <c r="AP10" s="19"/>
      <c r="AQ10" s="33">
        <f t="shared" ref="AQ10:AR17" si="6">G10+P10+Y10+AH10</f>
        <v>0</v>
      </c>
      <c r="AR10" s="21">
        <f t="shared" si="2"/>
        <v>1</v>
      </c>
      <c r="AS10" s="6">
        <f t="shared" si="3"/>
        <v>0</v>
      </c>
      <c r="AT10" s="22">
        <f t="shared" si="1"/>
        <v>1</v>
      </c>
      <c r="AU10" s="6">
        <f t="shared" si="4"/>
        <v>1</v>
      </c>
      <c r="AV10" s="38">
        <f t="shared" si="5"/>
        <v>0</v>
      </c>
    </row>
    <row r="11" spans="2:48" x14ac:dyDescent="0.25">
      <c r="B11" s="5" t="s">
        <v>15</v>
      </c>
      <c r="C11" s="5"/>
      <c r="D11" s="7"/>
      <c r="E11" s="7" t="str">
        <f>"0/2"</f>
        <v>0/2</v>
      </c>
      <c r="F11" s="7"/>
      <c r="G11" s="6"/>
      <c r="H11" s="6"/>
      <c r="I11" s="6"/>
      <c r="J11" s="6">
        <v>1</v>
      </c>
      <c r="K11" s="6"/>
      <c r="L11" s="5">
        <v>4</v>
      </c>
      <c r="M11" s="7"/>
      <c r="N11" s="7" t="str">
        <f>"2/3"</f>
        <v>2/3</v>
      </c>
      <c r="O11" s="7"/>
      <c r="P11" s="6"/>
      <c r="Q11" s="6">
        <v>4</v>
      </c>
      <c r="R11" s="6"/>
      <c r="S11" s="6">
        <v>2</v>
      </c>
      <c r="T11" s="6">
        <v>1</v>
      </c>
      <c r="U11" s="5">
        <v>3</v>
      </c>
      <c r="V11" s="7"/>
      <c r="W11" s="7"/>
      <c r="X11" s="7" t="str">
        <f>"1/1"</f>
        <v>1/1</v>
      </c>
      <c r="Y11" s="6">
        <v>1</v>
      </c>
      <c r="Z11" s="6"/>
      <c r="AA11" s="6"/>
      <c r="AB11" s="6">
        <v>2</v>
      </c>
      <c r="AC11" s="6">
        <v>1</v>
      </c>
      <c r="AD11" s="5">
        <v>2</v>
      </c>
      <c r="AE11" s="7"/>
      <c r="AF11" s="7" t="str">
        <f>"1/3"</f>
        <v>1/3</v>
      </c>
      <c r="AG11" s="7"/>
      <c r="AH11" s="6"/>
      <c r="AI11" s="6">
        <v>2</v>
      </c>
      <c r="AJ11" s="6"/>
      <c r="AK11" s="6">
        <v>1</v>
      </c>
      <c r="AL11" s="6">
        <v>1</v>
      </c>
      <c r="AM11" s="15">
        <f t="shared" ref="AM11:AM12" si="7">C11+L11+U11+AD11</f>
        <v>9</v>
      </c>
      <c r="AN11" s="19"/>
      <c r="AO11" s="19" t="str">
        <f>"3/8"</f>
        <v>3/8</v>
      </c>
      <c r="AP11" s="19" t="str">
        <f>"1/1"</f>
        <v>1/1</v>
      </c>
      <c r="AQ11" s="33">
        <f t="shared" si="6"/>
        <v>1</v>
      </c>
      <c r="AR11" s="21">
        <f t="shared" si="6"/>
        <v>6</v>
      </c>
      <c r="AS11" s="6">
        <f t="shared" ref="AS11:AS17" si="8">I11+R11+AA11+AJ11</f>
        <v>0</v>
      </c>
      <c r="AT11" s="22">
        <f t="shared" si="1"/>
        <v>6</v>
      </c>
      <c r="AU11" s="6">
        <f t="shared" ref="AU11:AV17" si="9">J11+S11+AB11+AK11</f>
        <v>6</v>
      </c>
      <c r="AV11" s="38">
        <f t="shared" si="9"/>
        <v>3</v>
      </c>
    </row>
    <row r="12" spans="2:48" x14ac:dyDescent="0.25">
      <c r="B12" s="5" t="s">
        <v>11</v>
      </c>
      <c r="C12" s="5">
        <v>2</v>
      </c>
      <c r="D12" s="7"/>
      <c r="E12" s="7" t="str">
        <f>"1/1"</f>
        <v>1/1</v>
      </c>
      <c r="F12" s="7" t="str">
        <f>"0/1"</f>
        <v>0/1</v>
      </c>
      <c r="G12" s="6"/>
      <c r="H12" s="6"/>
      <c r="I12" s="6">
        <v>1</v>
      </c>
      <c r="J12" s="6"/>
      <c r="K12" s="6">
        <v>1</v>
      </c>
      <c r="L12" s="5"/>
      <c r="M12" s="7"/>
      <c r="N12" s="7" t="str">
        <f>"0/1"</f>
        <v>0/1</v>
      </c>
      <c r="O12" s="7"/>
      <c r="P12" s="6"/>
      <c r="Q12" s="6"/>
      <c r="R12" s="6"/>
      <c r="S12" s="6"/>
      <c r="T12" s="6"/>
      <c r="U12" s="5"/>
      <c r="V12" s="7"/>
      <c r="W12" s="7"/>
      <c r="X12" s="7"/>
      <c r="Y12" s="6"/>
      <c r="Z12" s="6">
        <v>1</v>
      </c>
      <c r="AA12" s="6"/>
      <c r="AB12" s="6">
        <v>1</v>
      </c>
      <c r="AC12" s="6"/>
      <c r="AD12" s="5"/>
      <c r="AE12" s="7"/>
      <c r="AF12" s="7"/>
      <c r="AG12" s="7"/>
      <c r="AH12" s="6"/>
      <c r="AI12" s="6"/>
      <c r="AJ12" s="6">
        <v>1</v>
      </c>
      <c r="AK12" s="6"/>
      <c r="AL12" s="6">
        <v>1</v>
      </c>
      <c r="AM12" s="15">
        <f t="shared" si="7"/>
        <v>2</v>
      </c>
      <c r="AN12" s="19"/>
      <c r="AO12" s="19" t="str">
        <f>"1/2"</f>
        <v>1/2</v>
      </c>
      <c r="AP12" s="19" t="str">
        <f>"0/1"</f>
        <v>0/1</v>
      </c>
      <c r="AQ12" s="33">
        <f t="shared" si="6"/>
        <v>0</v>
      </c>
      <c r="AR12" s="21">
        <f t="shared" si="6"/>
        <v>1</v>
      </c>
      <c r="AS12" s="6">
        <f t="shared" si="8"/>
        <v>2</v>
      </c>
      <c r="AT12" s="22">
        <f t="shared" si="1"/>
        <v>3</v>
      </c>
      <c r="AU12" s="6">
        <f t="shared" si="9"/>
        <v>1</v>
      </c>
      <c r="AV12" s="38">
        <f t="shared" si="9"/>
        <v>2</v>
      </c>
    </row>
    <row r="13" spans="2:48" x14ac:dyDescent="0.25">
      <c r="B13" s="5" t="s">
        <v>13</v>
      </c>
      <c r="C13" s="5"/>
      <c r="D13" s="7"/>
      <c r="E13" s="7"/>
      <c r="F13" s="7"/>
      <c r="G13" s="6">
        <v>1</v>
      </c>
      <c r="H13" s="6"/>
      <c r="I13" s="6"/>
      <c r="J13" s="6"/>
      <c r="K13" s="6"/>
      <c r="L13" s="5"/>
      <c r="M13" s="7"/>
      <c r="N13" s="7"/>
      <c r="O13" s="7"/>
      <c r="P13" s="6"/>
      <c r="Q13" s="6"/>
      <c r="R13" s="6">
        <v>1</v>
      </c>
      <c r="S13" s="6"/>
      <c r="T13" s="6"/>
      <c r="U13" s="5"/>
      <c r="V13" s="7"/>
      <c r="W13" s="7"/>
      <c r="X13" s="7"/>
      <c r="Y13" s="6"/>
      <c r="Z13" s="6">
        <v>1</v>
      </c>
      <c r="AA13" s="6"/>
      <c r="AB13" s="6">
        <v>1</v>
      </c>
      <c r="AC13" s="6"/>
      <c r="AD13" s="5"/>
      <c r="AE13" s="7"/>
      <c r="AF13" s="7" t="str">
        <f>"0/1"</f>
        <v>0/1</v>
      </c>
      <c r="AG13" s="7"/>
      <c r="AH13" s="6"/>
      <c r="AI13" s="6">
        <v>1</v>
      </c>
      <c r="AJ13" s="6"/>
      <c r="AK13" s="6">
        <v>2</v>
      </c>
      <c r="AL13" s="6"/>
      <c r="AM13" s="15">
        <f>C13+L13+U13+AD13</f>
        <v>0</v>
      </c>
      <c r="AN13" s="19"/>
      <c r="AO13" s="19" t="str">
        <f>"0/1"</f>
        <v>0/1</v>
      </c>
      <c r="AP13" s="19"/>
      <c r="AQ13" s="33">
        <f t="shared" si="6"/>
        <v>1</v>
      </c>
      <c r="AR13" s="21">
        <f t="shared" si="6"/>
        <v>2</v>
      </c>
      <c r="AS13" s="6">
        <f t="shared" si="8"/>
        <v>1</v>
      </c>
      <c r="AT13" s="22">
        <f t="shared" si="1"/>
        <v>3</v>
      </c>
      <c r="AU13" s="6">
        <f t="shared" si="9"/>
        <v>3</v>
      </c>
      <c r="AV13" s="38">
        <f t="shared" si="9"/>
        <v>0</v>
      </c>
    </row>
    <row r="14" spans="2:48" x14ac:dyDescent="0.25">
      <c r="B14" s="5" t="s">
        <v>67</v>
      </c>
      <c r="C14" s="5">
        <v>3</v>
      </c>
      <c r="D14" s="7"/>
      <c r="E14" s="7" t="str">
        <f>"0/1"</f>
        <v>0/1</v>
      </c>
      <c r="F14" s="7" t="str">
        <f>"1/1"</f>
        <v>1/1</v>
      </c>
      <c r="G14" s="6"/>
      <c r="H14" s="6"/>
      <c r="I14" s="6"/>
      <c r="J14" s="6"/>
      <c r="K14" s="6"/>
      <c r="L14" s="5">
        <v>4</v>
      </c>
      <c r="M14" s="7"/>
      <c r="N14" s="7" t="str">
        <f>"2/2"</f>
        <v>2/2</v>
      </c>
      <c r="O14" s="7"/>
      <c r="P14" s="6"/>
      <c r="Q14" s="6"/>
      <c r="R14" s="6"/>
      <c r="S14" s="6"/>
      <c r="T14" s="6">
        <v>1</v>
      </c>
      <c r="U14" s="5">
        <v>2</v>
      </c>
      <c r="V14" s="7"/>
      <c r="W14" s="7" t="str">
        <f>"1/1"</f>
        <v>1/1</v>
      </c>
      <c r="X14" s="7"/>
      <c r="Y14" s="6">
        <v>1</v>
      </c>
      <c r="Z14" s="6">
        <v>1</v>
      </c>
      <c r="AA14" s="6"/>
      <c r="AB14" s="6"/>
      <c r="AC14" s="6"/>
      <c r="AD14" s="5">
        <v>2</v>
      </c>
      <c r="AE14" s="7"/>
      <c r="AF14" s="7" t="str">
        <f>"1/4"</f>
        <v>1/4</v>
      </c>
      <c r="AG14" s="7"/>
      <c r="AH14" s="6">
        <v>1</v>
      </c>
      <c r="AI14" s="6">
        <v>1</v>
      </c>
      <c r="AJ14" s="6"/>
      <c r="AK14" s="6">
        <v>1</v>
      </c>
      <c r="AL14" s="6"/>
      <c r="AM14" s="15">
        <f>C14+L14+U14+AD14</f>
        <v>11</v>
      </c>
      <c r="AN14" s="19"/>
      <c r="AO14" s="19" t="str">
        <f>"4/8"</f>
        <v>4/8</v>
      </c>
      <c r="AP14" s="19" t="str">
        <f>"1/1"</f>
        <v>1/1</v>
      </c>
      <c r="AQ14" s="33">
        <f t="shared" si="6"/>
        <v>2</v>
      </c>
      <c r="AR14" s="21">
        <f t="shared" si="6"/>
        <v>2</v>
      </c>
      <c r="AS14" s="6">
        <f t="shared" si="8"/>
        <v>0</v>
      </c>
      <c r="AT14" s="22">
        <f t="shared" si="1"/>
        <v>2</v>
      </c>
      <c r="AU14" s="6">
        <f t="shared" si="9"/>
        <v>1</v>
      </c>
      <c r="AV14" s="38">
        <f t="shared" si="9"/>
        <v>1</v>
      </c>
    </row>
    <row r="15" spans="2:48" x14ac:dyDescent="0.25">
      <c r="B15" s="5" t="s">
        <v>101</v>
      </c>
      <c r="C15" s="5"/>
      <c r="D15" s="7"/>
      <c r="E15" s="7"/>
      <c r="F15" s="7"/>
      <c r="G15" s="6"/>
      <c r="H15" s="6"/>
      <c r="I15" s="6"/>
      <c r="J15" s="6"/>
      <c r="K15" s="6"/>
      <c r="L15" s="5"/>
      <c r="M15" s="7"/>
      <c r="N15" s="7"/>
      <c r="O15" s="7"/>
      <c r="P15" s="6"/>
      <c r="Q15" s="6"/>
      <c r="R15" s="6"/>
      <c r="S15" s="6"/>
      <c r="T15" s="6"/>
      <c r="U15" s="5"/>
      <c r="V15" s="7"/>
      <c r="W15" s="7"/>
      <c r="X15" s="7"/>
      <c r="Y15" s="6"/>
      <c r="Z15" s="6"/>
      <c r="AA15" s="6"/>
      <c r="AB15" s="6"/>
      <c r="AC15" s="6"/>
      <c r="AD15" s="5"/>
      <c r="AE15" s="7"/>
      <c r="AF15" s="7"/>
      <c r="AG15" s="7"/>
      <c r="AH15" s="6"/>
      <c r="AI15" s="6"/>
      <c r="AJ15" s="6"/>
      <c r="AK15" s="6"/>
      <c r="AL15" s="6"/>
      <c r="AM15" s="15">
        <f>C15+L15+U15+AD15</f>
        <v>0</v>
      </c>
      <c r="AN15" s="19"/>
      <c r="AO15" s="19"/>
      <c r="AP15" s="19"/>
      <c r="AQ15" s="33">
        <f t="shared" si="6"/>
        <v>0</v>
      </c>
      <c r="AR15" s="21">
        <f t="shared" si="6"/>
        <v>0</v>
      </c>
      <c r="AS15" s="6">
        <f t="shared" si="8"/>
        <v>0</v>
      </c>
      <c r="AT15" s="22">
        <f t="shared" si="1"/>
        <v>0</v>
      </c>
      <c r="AU15" s="6">
        <f t="shared" si="9"/>
        <v>0</v>
      </c>
      <c r="AV15" s="38">
        <f t="shared" si="9"/>
        <v>0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6"/>
        <v>0</v>
      </c>
      <c r="AR16" s="21">
        <f t="shared" si="6"/>
        <v>0</v>
      </c>
      <c r="AS16" s="6">
        <f t="shared" si="8"/>
        <v>0</v>
      </c>
      <c r="AT16" s="22">
        <f t="shared" si="1"/>
        <v>0</v>
      </c>
      <c r="AU16" s="6">
        <f t="shared" si="9"/>
        <v>0</v>
      </c>
      <c r="AV16" s="38">
        <f t="shared" si="9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6"/>
        <v>0</v>
      </c>
      <c r="AR17" s="30">
        <f t="shared" si="6"/>
        <v>0</v>
      </c>
      <c r="AS17" s="4">
        <f t="shared" si="8"/>
        <v>0</v>
      </c>
      <c r="AT17" s="31">
        <f t="shared" si="1"/>
        <v>0</v>
      </c>
      <c r="AU17" s="4">
        <f t="shared" si="9"/>
        <v>0</v>
      </c>
      <c r="AV17" s="39">
        <f t="shared" si="9"/>
        <v>0</v>
      </c>
    </row>
    <row r="18" spans="2:48" s="9" customFormat="1" thickBot="1" x14ac:dyDescent="0.25">
      <c r="C18" s="11">
        <f>SUM(C7:C17)</f>
        <v>19</v>
      </c>
      <c r="D18" s="10" t="str">
        <f>"0/5"</f>
        <v>0/5</v>
      </c>
      <c r="E18" s="10" t="str">
        <f>"8/20"</f>
        <v>8/20</v>
      </c>
      <c r="F18" s="10" t="str">
        <f>"1/4"</f>
        <v>1/4</v>
      </c>
      <c r="G18" s="9">
        <f>SUM(G7:G17)</f>
        <v>1</v>
      </c>
      <c r="H18" s="9">
        <f t="shared" ref="H18:K18" si="10">SUM(H7:H17)</f>
        <v>5</v>
      </c>
      <c r="I18" s="9">
        <f t="shared" si="10"/>
        <v>7</v>
      </c>
      <c r="J18" s="9">
        <f t="shared" si="10"/>
        <v>2</v>
      </c>
      <c r="K18" s="9">
        <f t="shared" si="10"/>
        <v>2</v>
      </c>
      <c r="L18" s="11">
        <f>SUM(L7:L17)</f>
        <v>12</v>
      </c>
      <c r="M18" s="10"/>
      <c r="N18" s="10" t="str">
        <f>"6/17"</f>
        <v>6/17</v>
      </c>
      <c r="O18" s="47"/>
      <c r="P18" s="9">
        <f>SUM(P7:P17)</f>
        <v>0</v>
      </c>
      <c r="Q18" s="9">
        <f t="shared" ref="Q18:T18" si="11">SUM(Q7:Q17)</f>
        <v>8</v>
      </c>
      <c r="R18" s="9">
        <f t="shared" si="11"/>
        <v>8</v>
      </c>
      <c r="S18" s="9">
        <f t="shared" si="11"/>
        <v>5</v>
      </c>
      <c r="T18" s="9">
        <f t="shared" si="11"/>
        <v>4</v>
      </c>
      <c r="U18" s="11">
        <f>SUM(U7:U17)</f>
        <v>16</v>
      </c>
      <c r="V18" s="10" t="str">
        <f>"3/4"</f>
        <v>3/4</v>
      </c>
      <c r="W18" s="10" t="str">
        <f>"5/12"</f>
        <v>5/12</v>
      </c>
      <c r="X18" s="10" t="str">
        <f>"1/1"</f>
        <v>1/1</v>
      </c>
      <c r="Y18" s="9">
        <f>SUM(Y7:Y17)</f>
        <v>3</v>
      </c>
      <c r="Z18" s="9">
        <f t="shared" ref="Z18:AC18" si="12">SUM(Z7:Z17)</f>
        <v>8</v>
      </c>
      <c r="AA18" s="9">
        <f t="shared" si="12"/>
        <v>3</v>
      </c>
      <c r="AB18" s="9">
        <f t="shared" si="12"/>
        <v>4</v>
      </c>
      <c r="AC18" s="9">
        <f t="shared" si="12"/>
        <v>3</v>
      </c>
      <c r="AD18" s="11">
        <f>SUM(AD7:AD17)</f>
        <v>16</v>
      </c>
      <c r="AE18" s="10" t="str">
        <f>"3/8"</f>
        <v>3/8</v>
      </c>
      <c r="AF18" s="10" t="str">
        <f>"5/14"</f>
        <v>5/14</v>
      </c>
      <c r="AG18" s="10" t="str">
        <f>"1/1"</f>
        <v>1/1</v>
      </c>
      <c r="AH18" s="9">
        <f>SUM(AH7:AH17)</f>
        <v>1</v>
      </c>
      <c r="AI18" s="9">
        <f t="shared" ref="AI18:AL18" si="13">SUM(AI7:AI17)</f>
        <v>8</v>
      </c>
      <c r="AJ18" s="9">
        <f t="shared" si="13"/>
        <v>5</v>
      </c>
      <c r="AK18" s="9">
        <f t="shared" si="13"/>
        <v>5</v>
      </c>
      <c r="AL18" s="9">
        <f t="shared" si="13"/>
        <v>3</v>
      </c>
      <c r="AM18" s="12">
        <f>SUM(AM7:AM17)</f>
        <v>63</v>
      </c>
      <c r="AN18" s="13" t="str">
        <f>"6/17"</f>
        <v>6/17</v>
      </c>
      <c r="AO18" s="13" t="str">
        <f>"24/63"</f>
        <v>24/63</v>
      </c>
      <c r="AP18" s="13" t="str">
        <f>"3/6"</f>
        <v>3/6</v>
      </c>
      <c r="AQ18" s="11">
        <f t="shared" ref="AQ18:AV18" si="14">SUM(AQ7:AQ17)</f>
        <v>5</v>
      </c>
      <c r="AR18" s="11">
        <f t="shared" si="14"/>
        <v>29</v>
      </c>
      <c r="AS18" s="11">
        <f t="shared" si="14"/>
        <v>23</v>
      </c>
      <c r="AT18" s="11">
        <f t="shared" si="14"/>
        <v>52</v>
      </c>
      <c r="AU18" s="11">
        <f t="shared" si="14"/>
        <v>16</v>
      </c>
      <c r="AV18" s="11">
        <f t="shared" si="14"/>
        <v>12</v>
      </c>
    </row>
    <row r="19" spans="2:48" s="40" customFormat="1" thickBot="1" x14ac:dyDescent="0.25">
      <c r="B19" s="40" t="s">
        <v>54</v>
      </c>
      <c r="F19" s="67" t="str">
        <f>"25/19"</f>
        <v>25/19</v>
      </c>
      <c r="G19" s="68"/>
      <c r="H19" s="68"/>
      <c r="I19" s="68"/>
      <c r="J19" s="68"/>
      <c r="K19" s="69"/>
      <c r="O19" s="67" t="str">
        <f>"10/12"</f>
        <v>10/12</v>
      </c>
      <c r="P19" s="68"/>
      <c r="Q19" s="68"/>
      <c r="R19" s="68"/>
      <c r="S19" s="68"/>
      <c r="T19" s="69"/>
      <c r="X19" s="67" t="str">
        <f>"12/16"</f>
        <v>12/16</v>
      </c>
      <c r="Y19" s="68"/>
      <c r="Z19" s="68"/>
      <c r="AA19" s="68"/>
      <c r="AB19" s="68"/>
      <c r="AC19" s="69"/>
      <c r="AG19" s="67" t="str">
        <f>"14/16"</f>
        <v>14/16</v>
      </c>
      <c r="AH19" s="68"/>
      <c r="AI19" s="68"/>
      <c r="AJ19" s="68"/>
      <c r="AK19" s="68"/>
      <c r="AL19" s="69"/>
      <c r="AN19" s="14">
        <f>6/17</f>
        <v>0.35294117647058826</v>
      </c>
      <c r="AO19" s="14">
        <f>24/63</f>
        <v>0.38095238095238093</v>
      </c>
      <c r="AP19" s="14">
        <f>3/6</f>
        <v>0.5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"35/31"</f>
        <v>35/31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"47/47"</f>
        <v>47/47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96</v>
      </c>
      <c r="AM21" s="48">
        <v>63</v>
      </c>
      <c r="AN21" s="42" t="s">
        <v>93</v>
      </c>
      <c r="AO21" s="42" t="s">
        <v>94</v>
      </c>
      <c r="AP21" s="42" t="s">
        <v>95</v>
      </c>
      <c r="AQ21" s="43">
        <v>8</v>
      </c>
      <c r="AR21" s="43">
        <v>31</v>
      </c>
      <c r="AS21" s="43">
        <v>16</v>
      </c>
      <c r="AT21" s="43">
        <v>47</v>
      </c>
      <c r="AU21" s="43">
        <v>25</v>
      </c>
      <c r="AV21" s="43">
        <v>11</v>
      </c>
    </row>
    <row r="22" spans="2:48" x14ac:dyDescent="0.25">
      <c r="C22" s="1" t="s">
        <v>20</v>
      </c>
      <c r="D22" s="1" t="s">
        <v>27</v>
      </c>
      <c r="AN22" s="14">
        <v>0.42105263157894735</v>
      </c>
      <c r="AO22" s="14">
        <v>0.47272727272727272</v>
      </c>
      <c r="AP22" s="14">
        <v>0.1111111111111111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87</v>
      </c>
      <c r="AM24" s="48">
        <v>51</v>
      </c>
      <c r="AN24" s="42" t="s">
        <v>88</v>
      </c>
      <c r="AO24" s="42" t="s">
        <v>89</v>
      </c>
      <c r="AP24" s="42" t="s">
        <v>90</v>
      </c>
      <c r="AQ24" s="43">
        <v>5</v>
      </c>
      <c r="AR24" s="43">
        <v>16</v>
      </c>
      <c r="AS24" s="43">
        <v>11</v>
      </c>
      <c r="AT24" s="43">
        <v>27</v>
      </c>
      <c r="AU24" s="43">
        <v>31</v>
      </c>
      <c r="AV24" s="43">
        <v>10</v>
      </c>
    </row>
    <row r="25" spans="2:48" x14ac:dyDescent="0.25">
      <c r="C25" s="40" t="s">
        <v>23</v>
      </c>
      <c r="D25" s="40" t="s">
        <v>31</v>
      </c>
      <c r="E25" s="40"/>
      <c r="AN25" s="14">
        <v>0.6</v>
      </c>
      <c r="AO25" s="14">
        <v>0.39622641509433965</v>
      </c>
      <c r="AP25" s="14">
        <v>0.25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81</v>
      </c>
      <c r="AM27" s="48">
        <v>57</v>
      </c>
      <c r="AN27" s="42" t="s">
        <v>82</v>
      </c>
      <c r="AO27" s="42" t="s">
        <v>83</v>
      </c>
      <c r="AP27" s="42" t="s">
        <v>84</v>
      </c>
      <c r="AQ27" s="43">
        <v>7</v>
      </c>
      <c r="AR27" s="43">
        <v>29</v>
      </c>
      <c r="AS27" s="43">
        <v>13</v>
      </c>
      <c r="AT27" s="43">
        <v>42</v>
      </c>
      <c r="AU27" s="43">
        <v>23</v>
      </c>
      <c r="AV27" s="43">
        <v>9</v>
      </c>
    </row>
    <row r="28" spans="2:48" x14ac:dyDescent="0.25">
      <c r="AN28" s="14">
        <v>0.30769230769230771</v>
      </c>
      <c r="AO28" s="14">
        <v>0.37931034482758619</v>
      </c>
      <c r="AP28" s="14">
        <v>0.5</v>
      </c>
    </row>
    <row r="30" spans="2:48" x14ac:dyDescent="0.25">
      <c r="AG30" s="1" t="s">
        <v>77</v>
      </c>
      <c r="AM30" s="48">
        <v>47</v>
      </c>
      <c r="AN30" s="42" t="s">
        <v>78</v>
      </c>
      <c r="AO30" s="42" t="s">
        <v>79</v>
      </c>
      <c r="AP30" s="42" t="s">
        <v>80</v>
      </c>
      <c r="AQ30" s="43">
        <v>1</v>
      </c>
      <c r="AR30" s="43">
        <v>31</v>
      </c>
      <c r="AS30" s="43">
        <v>5</v>
      </c>
      <c r="AT30" s="43">
        <v>36</v>
      </c>
      <c r="AU30" s="43">
        <v>34</v>
      </c>
      <c r="AV30" s="43">
        <v>10</v>
      </c>
    </row>
    <row r="31" spans="2:48" x14ac:dyDescent="0.25">
      <c r="AN31" s="14">
        <v>0.21428571428571427</v>
      </c>
      <c r="AO31" s="14">
        <v>0.32653061224489793</v>
      </c>
      <c r="AP31" s="14">
        <v>0.44444444444444442</v>
      </c>
    </row>
    <row r="33" spans="33:48" x14ac:dyDescent="0.25">
      <c r="AG33" s="1" t="s">
        <v>70</v>
      </c>
      <c r="AM33" s="48">
        <v>44</v>
      </c>
      <c r="AN33" s="42" t="s">
        <v>71</v>
      </c>
      <c r="AO33" s="42" t="s">
        <v>72</v>
      </c>
      <c r="AP33" s="42" t="s">
        <v>73</v>
      </c>
      <c r="AQ33" s="43">
        <v>3</v>
      </c>
      <c r="AR33" s="43">
        <v>31</v>
      </c>
      <c r="AS33" s="43">
        <v>12</v>
      </c>
      <c r="AT33" s="43">
        <v>43</v>
      </c>
      <c r="AU33" s="43">
        <v>26</v>
      </c>
      <c r="AV33" s="43">
        <v>11</v>
      </c>
    </row>
    <row r="34" spans="33:48" x14ac:dyDescent="0.25">
      <c r="AN34" s="14">
        <v>0.23809523809523808</v>
      </c>
      <c r="AO34" s="14">
        <v>0.26315789473684209</v>
      </c>
      <c r="AP34" s="14">
        <v>0.33333333333333331</v>
      </c>
    </row>
    <row r="36" spans="33:48" x14ac:dyDescent="0.25">
      <c r="AG36" s="1" t="s">
        <v>64</v>
      </c>
      <c r="AM36" s="48">
        <v>38</v>
      </c>
      <c r="AN36" s="42" t="s">
        <v>65</v>
      </c>
      <c r="AO36" s="42" t="s">
        <v>66</v>
      </c>
      <c r="AP36" s="42" t="s">
        <v>52</v>
      </c>
      <c r="AQ36" s="43">
        <v>2</v>
      </c>
      <c r="AR36" s="43">
        <v>20</v>
      </c>
      <c r="AS36" s="43">
        <v>10</v>
      </c>
      <c r="AT36" s="43">
        <v>30</v>
      </c>
      <c r="AU36" s="43">
        <v>24</v>
      </c>
      <c r="AV36" s="43">
        <v>3</v>
      </c>
    </row>
    <row r="37" spans="33:48" x14ac:dyDescent="0.25">
      <c r="AN37" s="14">
        <v>0.23076923076923078</v>
      </c>
      <c r="AO37" s="14">
        <v>0.2857142857142857</v>
      </c>
      <c r="AP37" s="14">
        <v>1</v>
      </c>
    </row>
    <row r="39" spans="33:48" x14ac:dyDescent="0.25">
      <c r="AG39" s="1" t="s">
        <v>58</v>
      </c>
      <c r="AM39" s="48">
        <v>56</v>
      </c>
      <c r="AN39" s="42" t="s">
        <v>59</v>
      </c>
      <c r="AO39" s="42" t="s">
        <v>60</v>
      </c>
      <c r="AP39" s="42" t="s">
        <v>61</v>
      </c>
      <c r="AQ39" s="43">
        <v>5</v>
      </c>
      <c r="AR39" s="43">
        <v>31</v>
      </c>
      <c r="AS39" s="43">
        <v>8</v>
      </c>
      <c r="AT39" s="43">
        <v>39</v>
      </c>
      <c r="AU39" s="43">
        <v>22</v>
      </c>
      <c r="AV39" s="43">
        <v>6</v>
      </c>
    </row>
    <row r="40" spans="33:48" x14ac:dyDescent="0.25">
      <c r="AN40" s="14">
        <v>0.52631578947368418</v>
      </c>
      <c r="AO40" s="14">
        <v>0.40740740740740738</v>
      </c>
      <c r="AP40" s="14">
        <v>0.5</v>
      </c>
    </row>
    <row r="42" spans="33:48" x14ac:dyDescent="0.25">
      <c r="AG42" s="1" t="s">
        <v>53</v>
      </c>
      <c r="AM42" s="48">
        <v>47</v>
      </c>
      <c r="AN42" s="42" t="s">
        <v>49</v>
      </c>
      <c r="AO42" s="42" t="s">
        <v>50</v>
      </c>
      <c r="AP42" s="42" t="s">
        <v>51</v>
      </c>
      <c r="AQ42" s="43">
        <v>5</v>
      </c>
      <c r="AR42" s="43">
        <v>24</v>
      </c>
      <c r="AS42" s="43">
        <v>6</v>
      </c>
      <c r="AT42" s="43">
        <v>30</v>
      </c>
      <c r="AU42" s="43">
        <v>29</v>
      </c>
      <c r="AV42" s="43">
        <v>9</v>
      </c>
    </row>
    <row r="43" spans="33:48" x14ac:dyDescent="0.25">
      <c r="AN43" s="14">
        <v>0.53846153846153844</v>
      </c>
      <c r="AO43" s="14">
        <v>0.33333333333333331</v>
      </c>
      <c r="AP43" s="14">
        <v>0.33333333333333331</v>
      </c>
    </row>
    <row r="45" spans="33:48" x14ac:dyDescent="0.25">
      <c r="AG45" s="1" t="s">
        <v>46</v>
      </c>
      <c r="AM45" s="48">
        <v>33</v>
      </c>
      <c r="AN45" s="42" t="s">
        <v>98</v>
      </c>
      <c r="AO45" s="42" t="s">
        <v>99</v>
      </c>
      <c r="AP45" s="42" t="s">
        <v>52</v>
      </c>
      <c r="AQ45" s="43">
        <v>3</v>
      </c>
      <c r="AR45" s="43">
        <v>16</v>
      </c>
      <c r="AS45" s="43">
        <v>7</v>
      </c>
      <c r="AT45" s="43">
        <v>23</v>
      </c>
      <c r="AU45" s="43">
        <v>37</v>
      </c>
      <c r="AV45" s="43">
        <v>18</v>
      </c>
    </row>
    <row r="46" spans="33:48" x14ac:dyDescent="0.25">
      <c r="AN46" s="14">
        <v>0.5</v>
      </c>
      <c r="AO46" s="14">
        <v>0.28947368421052633</v>
      </c>
      <c r="AP46" s="14">
        <v>1</v>
      </c>
    </row>
  </sheetData>
  <mergeCells count="15">
    <mergeCell ref="L20:N20"/>
    <mergeCell ref="O20:T20"/>
    <mergeCell ref="U20:W20"/>
    <mergeCell ref="X20:AC20"/>
    <mergeCell ref="K2:N2"/>
    <mergeCell ref="W2:X2"/>
    <mergeCell ref="C5:K5"/>
    <mergeCell ref="L5:T5"/>
    <mergeCell ref="U5:AC5"/>
    <mergeCell ref="AM5:AV5"/>
    <mergeCell ref="F19:K19"/>
    <mergeCell ref="O19:T19"/>
    <mergeCell ref="X19:AC19"/>
    <mergeCell ref="AG19:AL19"/>
    <mergeCell ref="AD5:AL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V49"/>
  <sheetViews>
    <sheetView workbookViewId="0">
      <selection sqref="A1:XFD1048576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5.1406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4.7109375" style="1" customWidth="1"/>
    <col min="39" max="39" width="3.7109375" style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105</v>
      </c>
      <c r="I2" s="40" t="s">
        <v>38</v>
      </c>
      <c r="K2" s="52">
        <v>43163</v>
      </c>
      <c r="L2" s="52"/>
      <c r="M2" s="52"/>
      <c r="N2" s="52"/>
      <c r="Q2" s="45" t="s">
        <v>47</v>
      </c>
      <c r="W2" s="65" t="str">
        <f>"72/65"</f>
        <v>72/65</v>
      </c>
      <c r="X2" s="66"/>
    </row>
    <row r="3" spans="2:48" x14ac:dyDescent="0.25">
      <c r="B3" s="40" t="s">
        <v>36</v>
      </c>
      <c r="C3" s="1" t="s">
        <v>76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/>
      <c r="D7" s="7"/>
      <c r="E7" s="7"/>
      <c r="F7" s="7"/>
      <c r="G7" s="6">
        <v>1</v>
      </c>
      <c r="H7" s="6">
        <v>3</v>
      </c>
      <c r="I7" s="6"/>
      <c r="J7" s="6"/>
      <c r="K7" s="6"/>
      <c r="L7" s="5">
        <v>1</v>
      </c>
      <c r="M7" s="7" t="str">
        <f>"1/2"</f>
        <v>1/2</v>
      </c>
      <c r="N7" s="7" t="str">
        <f>"0/1"</f>
        <v>0/1</v>
      </c>
      <c r="O7" s="7"/>
      <c r="P7" s="6"/>
      <c r="Q7" s="6">
        <v>1</v>
      </c>
      <c r="R7" s="6">
        <v>1</v>
      </c>
      <c r="S7" s="6"/>
      <c r="T7" s="6"/>
      <c r="U7" s="5">
        <v>2</v>
      </c>
      <c r="V7" s="7"/>
      <c r="W7" s="7" t="str">
        <f>"1/5"</f>
        <v>1/5</v>
      </c>
      <c r="X7" s="7"/>
      <c r="Y7" s="6"/>
      <c r="Z7" s="6">
        <v>6</v>
      </c>
      <c r="AA7" s="6">
        <v>3</v>
      </c>
      <c r="AB7" s="6">
        <v>1</v>
      </c>
      <c r="AC7" s="6"/>
      <c r="AD7" s="5">
        <v>5</v>
      </c>
      <c r="AE7" s="7" t="str">
        <f>"1/2"</f>
        <v>1/2</v>
      </c>
      <c r="AF7" s="7" t="str">
        <f>"2/2"</f>
        <v>2/2</v>
      </c>
      <c r="AG7" s="7"/>
      <c r="AH7" s="6"/>
      <c r="AI7" s="6">
        <v>5</v>
      </c>
      <c r="AJ7" s="6">
        <v>4</v>
      </c>
      <c r="AK7" s="6">
        <v>1</v>
      </c>
      <c r="AL7" s="6">
        <v>1</v>
      </c>
      <c r="AM7" s="25">
        <f>C7+L7+U7+AD7</f>
        <v>8</v>
      </c>
      <c r="AN7" s="26" t="str">
        <f>"2/4"</f>
        <v>2/4</v>
      </c>
      <c r="AO7" s="26" t="str">
        <f>"3/8"</f>
        <v>3/8</v>
      </c>
      <c r="AP7" s="26"/>
      <c r="AQ7" s="32">
        <f t="shared" ref="AQ7:AS17" si="0">G7+P7+Y7+AH7</f>
        <v>1</v>
      </c>
      <c r="AR7" s="28">
        <f>H7+Q7+Z7+AI7</f>
        <v>15</v>
      </c>
      <c r="AS7" s="27">
        <f>I7+R7+AA7+AJ7</f>
        <v>8</v>
      </c>
      <c r="AT7" s="29">
        <f>AR7+AS7</f>
        <v>23</v>
      </c>
      <c r="AU7" s="27">
        <f>J7+S7+AB7+AK7</f>
        <v>2</v>
      </c>
      <c r="AV7" s="37">
        <f>K7+T7+AC7+AL7</f>
        <v>1</v>
      </c>
    </row>
    <row r="8" spans="2:48" x14ac:dyDescent="0.25">
      <c r="B8" s="5" t="s">
        <v>12</v>
      </c>
      <c r="C8" s="5">
        <v>6</v>
      </c>
      <c r="D8" s="7"/>
      <c r="E8" s="7" t="str">
        <f>"3/4"</f>
        <v>3/4</v>
      </c>
      <c r="F8" s="7"/>
      <c r="G8" s="6"/>
      <c r="H8" s="6">
        <v>2</v>
      </c>
      <c r="I8" s="6">
        <v>1</v>
      </c>
      <c r="J8" s="6"/>
      <c r="K8" s="6"/>
      <c r="L8" s="5">
        <v>6</v>
      </c>
      <c r="M8" s="7" t="str">
        <f>"0/4"</f>
        <v>0/4</v>
      </c>
      <c r="N8" s="7" t="str">
        <f>"3/5"</f>
        <v>3/5</v>
      </c>
      <c r="O8" s="7" t="str">
        <f>"0/1"</f>
        <v>0/1</v>
      </c>
      <c r="P8" s="6"/>
      <c r="Q8" s="6">
        <v>4</v>
      </c>
      <c r="R8" s="6">
        <v>3</v>
      </c>
      <c r="S8" s="6">
        <v>1</v>
      </c>
      <c r="T8" s="6"/>
      <c r="U8" s="5">
        <v>5</v>
      </c>
      <c r="V8" s="7" t="str">
        <f>"1/2"</f>
        <v>1/2</v>
      </c>
      <c r="W8" s="7" t="str">
        <f>"2/6"</f>
        <v>2/6</v>
      </c>
      <c r="X8" s="7"/>
      <c r="Y8" s="6"/>
      <c r="Z8" s="6">
        <v>2</v>
      </c>
      <c r="AA8" s="6">
        <v>1</v>
      </c>
      <c r="AB8" s="6"/>
      <c r="AC8" s="6"/>
      <c r="AD8" s="5">
        <v>4</v>
      </c>
      <c r="AE8" s="7"/>
      <c r="AF8" s="7" t="str">
        <f>"2/5"</f>
        <v>2/5</v>
      </c>
      <c r="AG8" s="7"/>
      <c r="AH8" s="6"/>
      <c r="AI8" s="6">
        <v>2</v>
      </c>
      <c r="AJ8" s="6">
        <v>2</v>
      </c>
      <c r="AK8" s="6"/>
      <c r="AL8" s="6">
        <v>1</v>
      </c>
      <c r="AM8" s="15">
        <f>C8+L8+U8+AD8</f>
        <v>21</v>
      </c>
      <c r="AN8" s="19" t="str">
        <f>"1/6"</f>
        <v>1/6</v>
      </c>
      <c r="AO8" s="19" t="str">
        <f>"10/20"</f>
        <v>10/20</v>
      </c>
      <c r="AP8" s="19" t="str">
        <f>"0/1"</f>
        <v>0/1</v>
      </c>
      <c r="AQ8" s="33">
        <f t="shared" si="0"/>
        <v>0</v>
      </c>
      <c r="AR8" s="21">
        <f>H8+Q8+Z8+AI8</f>
        <v>10</v>
      </c>
      <c r="AS8" s="6">
        <f>I8+R8+AA8+AJ8</f>
        <v>7</v>
      </c>
      <c r="AT8" s="22">
        <f t="shared" ref="AT8:AT17" si="1">AR8+AS8</f>
        <v>17</v>
      </c>
      <c r="AU8" s="6">
        <f>J8+S8+AB8+AK8</f>
        <v>1</v>
      </c>
      <c r="AV8" s="38">
        <f>K8+T8+AC8+AL8</f>
        <v>1</v>
      </c>
    </row>
    <row r="9" spans="2:48" x14ac:dyDescent="0.25">
      <c r="B9" s="5" t="s">
        <v>41</v>
      </c>
      <c r="C9" s="5">
        <v>8</v>
      </c>
      <c r="D9" s="7"/>
      <c r="E9" s="7" t="str">
        <f>"4/6"</f>
        <v>4/6</v>
      </c>
      <c r="F9" s="7"/>
      <c r="G9" s="6"/>
      <c r="H9" s="6"/>
      <c r="I9" s="6"/>
      <c r="J9" s="6"/>
      <c r="K9" s="6"/>
      <c r="L9" s="5">
        <v>2</v>
      </c>
      <c r="M9" s="7"/>
      <c r="N9" s="7" t="str">
        <f>"1/3"</f>
        <v>1/3</v>
      </c>
      <c r="O9" s="7"/>
      <c r="P9" s="6"/>
      <c r="Q9" s="6">
        <v>1</v>
      </c>
      <c r="R9" s="6"/>
      <c r="S9" s="6">
        <v>1</v>
      </c>
      <c r="T9" s="6"/>
      <c r="U9" s="5"/>
      <c r="V9" s="7"/>
      <c r="W9" s="7"/>
      <c r="X9" s="7"/>
      <c r="Y9" s="6"/>
      <c r="Z9" s="6"/>
      <c r="AA9" s="6"/>
      <c r="AB9" s="6"/>
      <c r="AC9" s="6"/>
      <c r="AD9" s="5">
        <v>2</v>
      </c>
      <c r="AE9" s="7" t="str">
        <f>"2/4"</f>
        <v>2/4</v>
      </c>
      <c r="AF9" s="7" t="str">
        <f>"0/1"</f>
        <v>0/1</v>
      </c>
      <c r="AG9" s="7"/>
      <c r="AH9" s="6"/>
      <c r="AI9" s="6"/>
      <c r="AJ9" s="6"/>
      <c r="AK9" s="6"/>
      <c r="AL9" s="6"/>
      <c r="AM9" s="15">
        <f>C9+L9+U9+AD9</f>
        <v>12</v>
      </c>
      <c r="AN9" s="19" t="str">
        <f>"2/4"</f>
        <v>2/4</v>
      </c>
      <c r="AO9" s="19" t="str">
        <f>"5/10"</f>
        <v>5/10</v>
      </c>
      <c r="AP9" s="19"/>
      <c r="AQ9" s="33">
        <f>G9+P9+Y9+AH9</f>
        <v>0</v>
      </c>
      <c r="AR9" s="21">
        <f t="shared" si="0"/>
        <v>1</v>
      </c>
      <c r="AS9" s="6">
        <f t="shared" si="0"/>
        <v>0</v>
      </c>
      <c r="AT9" s="22">
        <f t="shared" si="1"/>
        <v>1</v>
      </c>
      <c r="AU9" s="6">
        <f t="shared" ref="AU9:AV17" si="2">J9+S9+AB9+AK9</f>
        <v>1</v>
      </c>
      <c r="AV9" s="38">
        <f t="shared" si="2"/>
        <v>0</v>
      </c>
    </row>
    <row r="10" spans="2:48" x14ac:dyDescent="0.25">
      <c r="B10" s="5" t="s">
        <v>10</v>
      </c>
      <c r="C10" s="5">
        <v>4</v>
      </c>
      <c r="D10" s="7"/>
      <c r="E10" s="7" t="str">
        <f>"2/2"</f>
        <v>2/2</v>
      </c>
      <c r="F10" s="7"/>
      <c r="G10" s="6"/>
      <c r="H10" s="6"/>
      <c r="I10" s="6">
        <v>1</v>
      </c>
      <c r="J10" s="6"/>
      <c r="K10" s="6"/>
      <c r="L10" s="5">
        <v>4</v>
      </c>
      <c r="M10" s="7" t="str">
        <f>"2/2"</f>
        <v>2/2</v>
      </c>
      <c r="N10" s="7" t="str">
        <f>"1/3"</f>
        <v>1/3</v>
      </c>
      <c r="O10" s="7"/>
      <c r="P10" s="6"/>
      <c r="Q10" s="6"/>
      <c r="R10" s="6"/>
      <c r="S10" s="6"/>
      <c r="T10" s="6"/>
      <c r="U10" s="5">
        <v>3</v>
      </c>
      <c r="V10" s="7" t="str">
        <f>"1/4"</f>
        <v>1/4</v>
      </c>
      <c r="W10" s="7" t="str">
        <f>"1/4"</f>
        <v>1/4</v>
      </c>
      <c r="X10" s="7"/>
      <c r="Y10" s="6"/>
      <c r="Z10" s="6">
        <v>1</v>
      </c>
      <c r="AA10" s="6">
        <v>1</v>
      </c>
      <c r="AB10" s="6"/>
      <c r="AC10" s="6"/>
      <c r="AD10" s="5">
        <v>2</v>
      </c>
      <c r="AE10" s="7"/>
      <c r="AF10" s="7" t="str">
        <f>"1/2"</f>
        <v>1/2</v>
      </c>
      <c r="AG10" s="7"/>
      <c r="AH10" s="6"/>
      <c r="AI10" s="6">
        <v>1</v>
      </c>
      <c r="AJ10" s="6"/>
      <c r="AK10" s="6"/>
      <c r="AL10" s="6">
        <v>1</v>
      </c>
      <c r="AM10" s="15">
        <f>C10+L10+U10+AD10</f>
        <v>13</v>
      </c>
      <c r="AN10" s="19" t="str">
        <f>"3/6"</f>
        <v>3/6</v>
      </c>
      <c r="AO10" s="19" t="str">
        <f>"5/11"</f>
        <v>5/11</v>
      </c>
      <c r="AP10" s="19"/>
      <c r="AQ10" s="33">
        <f t="shared" ref="AQ10:AR17" si="3">G10+P10+Y10+AH10</f>
        <v>0</v>
      </c>
      <c r="AR10" s="21">
        <f>H10+Q10+Z10+AI10</f>
        <v>2</v>
      </c>
      <c r="AS10" s="6">
        <f t="shared" si="0"/>
        <v>2</v>
      </c>
      <c r="AT10" s="22">
        <f t="shared" si="1"/>
        <v>4</v>
      </c>
      <c r="AU10" s="6">
        <f t="shared" si="2"/>
        <v>0</v>
      </c>
      <c r="AV10" s="38">
        <f t="shared" si="2"/>
        <v>1</v>
      </c>
    </row>
    <row r="11" spans="2:48" x14ac:dyDescent="0.25">
      <c r="B11" s="5" t="s">
        <v>15</v>
      </c>
      <c r="C11" s="5">
        <v>6</v>
      </c>
      <c r="D11" s="7"/>
      <c r="E11" s="7" t="str">
        <f>"3/4"</f>
        <v>3/4</v>
      </c>
      <c r="F11" s="7"/>
      <c r="G11" s="6">
        <v>3</v>
      </c>
      <c r="H11" s="6">
        <v>4</v>
      </c>
      <c r="I11" s="6"/>
      <c r="J11" s="6">
        <v>1</v>
      </c>
      <c r="K11" s="6">
        <v>1</v>
      </c>
      <c r="L11" s="5">
        <v>1</v>
      </c>
      <c r="M11" s="7" t="str">
        <f>"1/2"</f>
        <v>1/2</v>
      </c>
      <c r="N11" s="7" t="str">
        <f>"0/1"</f>
        <v>0/1</v>
      </c>
      <c r="O11" s="7"/>
      <c r="P11" s="6">
        <v>1</v>
      </c>
      <c r="Q11" s="6"/>
      <c r="R11" s="6"/>
      <c r="S11" s="6"/>
      <c r="T11" s="6"/>
      <c r="U11" s="5">
        <v>2</v>
      </c>
      <c r="V11" s="7"/>
      <c r="W11" s="7" t="str">
        <f>"1/1"</f>
        <v>1/1</v>
      </c>
      <c r="X11" s="7"/>
      <c r="Y11" s="6">
        <v>2</v>
      </c>
      <c r="Z11" s="6"/>
      <c r="AA11" s="6">
        <v>1</v>
      </c>
      <c r="AB11" s="6">
        <v>2</v>
      </c>
      <c r="AC11" s="6"/>
      <c r="AD11" s="5">
        <v>5</v>
      </c>
      <c r="AE11" s="7" t="str">
        <f>"1/4"</f>
        <v>1/4</v>
      </c>
      <c r="AF11" s="7" t="str">
        <f>"2/2"</f>
        <v>2/2</v>
      </c>
      <c r="AG11" s="7"/>
      <c r="AH11" s="6"/>
      <c r="AI11" s="6">
        <v>1</v>
      </c>
      <c r="AJ11" s="6"/>
      <c r="AK11" s="6"/>
      <c r="AL11" s="6"/>
      <c r="AM11" s="15">
        <f t="shared" ref="AM11:AM12" si="4">C11+L11+U11+AD11</f>
        <v>14</v>
      </c>
      <c r="AN11" s="19" t="str">
        <f>"2/6"</f>
        <v>2/6</v>
      </c>
      <c r="AO11" s="19" t="str">
        <f>"6/8"</f>
        <v>6/8</v>
      </c>
      <c r="AP11" s="19"/>
      <c r="AQ11" s="33">
        <f t="shared" si="3"/>
        <v>6</v>
      </c>
      <c r="AR11" s="21">
        <f t="shared" si="3"/>
        <v>5</v>
      </c>
      <c r="AS11" s="6">
        <f t="shared" si="0"/>
        <v>1</v>
      </c>
      <c r="AT11" s="22">
        <f t="shared" si="1"/>
        <v>6</v>
      </c>
      <c r="AU11" s="6">
        <f t="shared" si="2"/>
        <v>3</v>
      </c>
      <c r="AV11" s="38">
        <f t="shared" si="2"/>
        <v>1</v>
      </c>
    </row>
    <row r="12" spans="2:48" x14ac:dyDescent="0.25">
      <c r="B12" s="5" t="s">
        <v>11</v>
      </c>
      <c r="C12" s="5">
        <v>2</v>
      </c>
      <c r="D12" s="7" t="str">
        <f>"0/1"</f>
        <v>0/1</v>
      </c>
      <c r="E12" s="7" t="str">
        <f>"1/1"</f>
        <v>1/1</v>
      </c>
      <c r="F12" s="7"/>
      <c r="G12" s="6">
        <v>1</v>
      </c>
      <c r="H12" s="6"/>
      <c r="I12" s="6"/>
      <c r="J12" s="6"/>
      <c r="K12" s="6"/>
      <c r="L12" s="5">
        <v>2</v>
      </c>
      <c r="M12" s="7" t="str">
        <f>"0/2"</f>
        <v>0/2</v>
      </c>
      <c r="N12" s="7" t="str">
        <f>"1/4"</f>
        <v>1/4</v>
      </c>
      <c r="O12" s="7"/>
      <c r="P12" s="6">
        <v>2</v>
      </c>
      <c r="Q12" s="6"/>
      <c r="R12" s="6"/>
      <c r="S12" s="6"/>
      <c r="T12" s="6"/>
      <c r="U12" s="5"/>
      <c r="V12" s="7"/>
      <c r="W12" s="7"/>
      <c r="X12" s="7"/>
      <c r="Y12" s="6"/>
      <c r="Z12" s="6"/>
      <c r="AA12" s="6"/>
      <c r="AB12" s="6"/>
      <c r="AC12" s="6"/>
      <c r="AD12" s="5"/>
      <c r="AE12" s="7"/>
      <c r="AF12" s="7" t="str">
        <f>"0/1"</f>
        <v>0/1</v>
      </c>
      <c r="AG12" s="7"/>
      <c r="AH12" s="6"/>
      <c r="AI12" s="6"/>
      <c r="AJ12" s="6"/>
      <c r="AK12" s="6">
        <v>1</v>
      </c>
      <c r="AL12" s="6">
        <v>1</v>
      </c>
      <c r="AM12" s="15">
        <f t="shared" si="4"/>
        <v>4</v>
      </c>
      <c r="AN12" s="19" t="str">
        <f>"0/3"</f>
        <v>0/3</v>
      </c>
      <c r="AO12" s="19" t="str">
        <f>"2/6"</f>
        <v>2/6</v>
      </c>
      <c r="AP12" s="19"/>
      <c r="AQ12" s="33">
        <f t="shared" si="3"/>
        <v>3</v>
      </c>
      <c r="AR12" s="21">
        <f t="shared" si="3"/>
        <v>0</v>
      </c>
      <c r="AS12" s="6">
        <f t="shared" si="0"/>
        <v>0</v>
      </c>
      <c r="AT12" s="22">
        <f t="shared" si="1"/>
        <v>0</v>
      </c>
      <c r="AU12" s="6">
        <f t="shared" si="2"/>
        <v>1</v>
      </c>
      <c r="AV12" s="38">
        <f t="shared" si="2"/>
        <v>1</v>
      </c>
    </row>
    <row r="13" spans="2:48" x14ac:dyDescent="0.25">
      <c r="B13" s="5" t="s">
        <v>13</v>
      </c>
      <c r="C13" s="5"/>
      <c r="D13" s="7"/>
      <c r="E13" s="7" t="str">
        <f>"0/1"</f>
        <v>0/1</v>
      </c>
      <c r="F13" s="7"/>
      <c r="G13" s="6"/>
      <c r="H13" s="6"/>
      <c r="I13" s="6"/>
      <c r="J13" s="6">
        <v>1</v>
      </c>
      <c r="K13" s="6"/>
      <c r="L13" s="5"/>
      <c r="M13" s="7"/>
      <c r="N13" s="7"/>
      <c r="O13" s="7"/>
      <c r="P13" s="6"/>
      <c r="Q13" s="6">
        <v>1</v>
      </c>
      <c r="R13" s="6"/>
      <c r="S13" s="6">
        <v>2</v>
      </c>
      <c r="T13" s="6"/>
      <c r="U13" s="5"/>
      <c r="V13" s="7"/>
      <c r="W13" s="7"/>
      <c r="X13" s="7"/>
      <c r="Y13" s="6"/>
      <c r="Z13" s="6"/>
      <c r="AA13" s="6"/>
      <c r="AB13" s="6"/>
      <c r="AC13" s="6"/>
      <c r="AD13" s="5"/>
      <c r="AE13" s="7"/>
      <c r="AF13" s="7"/>
      <c r="AG13" s="7"/>
      <c r="AH13" s="6">
        <v>1</v>
      </c>
      <c r="AI13" s="6"/>
      <c r="AJ13" s="6"/>
      <c r="AK13" s="6">
        <v>1</v>
      </c>
      <c r="AL13" s="6"/>
      <c r="AM13" s="15">
        <f>C13+L13+U13+AD13</f>
        <v>0</v>
      </c>
      <c r="AN13" s="19"/>
      <c r="AO13" s="19" t="str">
        <f>"0/1"</f>
        <v>0/1</v>
      </c>
      <c r="AP13" s="19"/>
      <c r="AQ13" s="33">
        <f t="shared" si="3"/>
        <v>1</v>
      </c>
      <c r="AR13" s="21">
        <f t="shared" si="3"/>
        <v>1</v>
      </c>
      <c r="AS13" s="6">
        <f t="shared" si="0"/>
        <v>0</v>
      </c>
      <c r="AT13" s="22">
        <f t="shared" si="1"/>
        <v>1</v>
      </c>
      <c r="AU13" s="6">
        <f t="shared" si="2"/>
        <v>4</v>
      </c>
      <c r="AV13" s="38">
        <f t="shared" si="2"/>
        <v>0</v>
      </c>
    </row>
    <row r="14" spans="2:48" x14ac:dyDescent="0.25">
      <c r="B14" s="5" t="s">
        <v>57</v>
      </c>
      <c r="C14" s="5"/>
      <c r="D14" s="7"/>
      <c r="E14" s="7"/>
      <c r="F14" s="7"/>
      <c r="G14" s="6"/>
      <c r="H14" s="6"/>
      <c r="I14" s="6"/>
      <c r="J14" s="6"/>
      <c r="K14" s="6"/>
      <c r="L14" s="5"/>
      <c r="M14" s="7"/>
      <c r="N14" s="7"/>
      <c r="O14" s="7"/>
      <c r="P14" s="6"/>
      <c r="Q14" s="6"/>
      <c r="R14" s="6"/>
      <c r="S14" s="6"/>
      <c r="T14" s="6"/>
      <c r="U14" s="5"/>
      <c r="V14" s="7"/>
      <c r="W14" s="7"/>
      <c r="X14" s="7"/>
      <c r="Y14" s="6"/>
      <c r="Z14" s="6"/>
      <c r="AA14" s="6"/>
      <c r="AB14" s="6"/>
      <c r="AC14" s="6"/>
      <c r="AD14" s="5"/>
      <c r="AE14" s="7"/>
      <c r="AF14" s="7"/>
      <c r="AG14" s="7"/>
      <c r="AH14" s="6"/>
      <c r="AI14" s="6"/>
      <c r="AJ14" s="6"/>
      <c r="AK14" s="6"/>
      <c r="AL14" s="6"/>
      <c r="AM14" s="15">
        <f>C14+L14+U14+AD14</f>
        <v>0</v>
      </c>
      <c r="AN14" s="19"/>
      <c r="AO14" s="19"/>
      <c r="AP14" s="19"/>
      <c r="AQ14" s="33">
        <f t="shared" si="3"/>
        <v>0</v>
      </c>
      <c r="AR14" s="21">
        <f t="shared" si="3"/>
        <v>0</v>
      </c>
      <c r="AS14" s="6">
        <f t="shared" si="0"/>
        <v>0</v>
      </c>
      <c r="AT14" s="22">
        <f t="shared" si="1"/>
        <v>0</v>
      </c>
      <c r="AU14" s="6">
        <f t="shared" si="2"/>
        <v>0</v>
      </c>
      <c r="AV14" s="38">
        <f t="shared" si="2"/>
        <v>0</v>
      </c>
    </row>
    <row r="15" spans="2:48" x14ac:dyDescent="0.25">
      <c r="B15" s="5" t="s">
        <v>101</v>
      </c>
      <c r="C15" s="5"/>
      <c r="D15" s="7"/>
      <c r="E15" s="7"/>
      <c r="F15" s="7"/>
      <c r="G15" s="6"/>
      <c r="H15" s="6"/>
      <c r="I15" s="6"/>
      <c r="J15" s="6"/>
      <c r="K15" s="6"/>
      <c r="L15" s="5"/>
      <c r="M15" s="7"/>
      <c r="N15" s="7"/>
      <c r="O15" s="7"/>
      <c r="P15" s="6"/>
      <c r="Q15" s="6"/>
      <c r="R15" s="6"/>
      <c r="S15" s="6"/>
      <c r="T15" s="6"/>
      <c r="U15" s="5"/>
      <c r="V15" s="7"/>
      <c r="W15" s="7"/>
      <c r="X15" s="7"/>
      <c r="Y15" s="6"/>
      <c r="Z15" s="6"/>
      <c r="AA15" s="6"/>
      <c r="AB15" s="6"/>
      <c r="AC15" s="6"/>
      <c r="AD15" s="5"/>
      <c r="AE15" s="7"/>
      <c r="AF15" s="7"/>
      <c r="AG15" s="7"/>
      <c r="AH15" s="6"/>
      <c r="AI15" s="6"/>
      <c r="AJ15" s="6"/>
      <c r="AK15" s="6"/>
      <c r="AL15" s="6"/>
      <c r="AM15" s="15">
        <f>C15+L15+U15+AD15</f>
        <v>0</v>
      </c>
      <c r="AN15" s="19"/>
      <c r="AO15" s="19"/>
      <c r="AP15" s="19"/>
      <c r="AQ15" s="33">
        <f t="shared" si="3"/>
        <v>0</v>
      </c>
      <c r="AR15" s="21">
        <f t="shared" si="3"/>
        <v>0</v>
      </c>
      <c r="AS15" s="6">
        <f t="shared" si="0"/>
        <v>0</v>
      </c>
      <c r="AT15" s="22">
        <f t="shared" si="1"/>
        <v>0</v>
      </c>
      <c r="AU15" s="6">
        <f t="shared" si="2"/>
        <v>0</v>
      </c>
      <c r="AV15" s="38">
        <f t="shared" si="2"/>
        <v>0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3"/>
        <v>0</v>
      </c>
      <c r="AR16" s="21">
        <f t="shared" si="3"/>
        <v>0</v>
      </c>
      <c r="AS16" s="6">
        <f t="shared" si="0"/>
        <v>0</v>
      </c>
      <c r="AT16" s="22">
        <f t="shared" si="1"/>
        <v>0</v>
      </c>
      <c r="AU16" s="6">
        <f t="shared" si="2"/>
        <v>0</v>
      </c>
      <c r="AV16" s="38">
        <f t="shared" si="2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3"/>
        <v>0</v>
      </c>
      <c r="AR17" s="30">
        <f t="shared" si="3"/>
        <v>0</v>
      </c>
      <c r="AS17" s="4">
        <f t="shared" si="0"/>
        <v>0</v>
      </c>
      <c r="AT17" s="31">
        <f t="shared" si="1"/>
        <v>0</v>
      </c>
      <c r="AU17" s="4">
        <f t="shared" si="2"/>
        <v>0</v>
      </c>
      <c r="AV17" s="39">
        <f t="shared" si="2"/>
        <v>0</v>
      </c>
    </row>
    <row r="18" spans="2:48" s="9" customFormat="1" thickBot="1" x14ac:dyDescent="0.25">
      <c r="C18" s="11">
        <f>SUM(C7:C17)</f>
        <v>26</v>
      </c>
      <c r="D18" s="10" t="str">
        <f>"0/1"</f>
        <v>0/1</v>
      </c>
      <c r="E18" s="10" t="str">
        <f>"13/18"</f>
        <v>13/18</v>
      </c>
      <c r="F18" s="10"/>
      <c r="G18" s="9">
        <f>SUM(G7:G17)</f>
        <v>5</v>
      </c>
      <c r="H18" s="9">
        <f t="shared" ref="H18:K18" si="5">SUM(H7:H17)</f>
        <v>9</v>
      </c>
      <c r="I18" s="9">
        <f t="shared" si="5"/>
        <v>2</v>
      </c>
      <c r="J18" s="9">
        <f t="shared" si="5"/>
        <v>2</v>
      </c>
      <c r="K18" s="9">
        <f t="shared" si="5"/>
        <v>1</v>
      </c>
      <c r="L18" s="11">
        <f>SUM(L7:L17)</f>
        <v>16</v>
      </c>
      <c r="M18" s="10" t="str">
        <f>"4/12"</f>
        <v>4/12</v>
      </c>
      <c r="N18" s="10" t="str">
        <f>"6/17"</f>
        <v>6/17</v>
      </c>
      <c r="O18" s="47" t="str">
        <f>"0/1"</f>
        <v>0/1</v>
      </c>
      <c r="P18" s="9">
        <f>SUM(P7:P17)</f>
        <v>3</v>
      </c>
      <c r="Q18" s="9">
        <f t="shared" ref="Q18:T18" si="6">SUM(Q7:Q17)</f>
        <v>7</v>
      </c>
      <c r="R18" s="9">
        <f t="shared" si="6"/>
        <v>4</v>
      </c>
      <c r="S18" s="9">
        <f t="shared" si="6"/>
        <v>4</v>
      </c>
      <c r="T18" s="9">
        <f t="shared" si="6"/>
        <v>0</v>
      </c>
      <c r="U18" s="11">
        <f>SUM(U7:U17)</f>
        <v>12</v>
      </c>
      <c r="V18" s="10" t="str">
        <f>"2/6"</f>
        <v>2/6</v>
      </c>
      <c r="W18" s="10" t="str">
        <f>"5/16"</f>
        <v>5/16</v>
      </c>
      <c r="X18" s="10"/>
      <c r="Y18" s="9">
        <f>SUM(Y7:Y17)</f>
        <v>2</v>
      </c>
      <c r="Z18" s="9">
        <f t="shared" ref="Z18:AC18" si="7">SUM(Z7:Z17)</f>
        <v>9</v>
      </c>
      <c r="AA18" s="9">
        <f t="shared" si="7"/>
        <v>6</v>
      </c>
      <c r="AB18" s="9">
        <f t="shared" si="7"/>
        <v>3</v>
      </c>
      <c r="AC18" s="9">
        <f t="shared" si="7"/>
        <v>0</v>
      </c>
      <c r="AD18" s="11">
        <f>SUM(AD7:AD17)</f>
        <v>18</v>
      </c>
      <c r="AE18" s="10" t="str">
        <f>"4/10"</f>
        <v>4/10</v>
      </c>
      <c r="AF18" s="10" t="str">
        <f>"7/13"</f>
        <v>7/13</v>
      </c>
      <c r="AG18" s="10"/>
      <c r="AH18" s="9">
        <f>SUM(AH7:AH17)</f>
        <v>1</v>
      </c>
      <c r="AI18" s="9">
        <f t="shared" ref="AI18:AL18" si="8">SUM(AI7:AI17)</f>
        <v>9</v>
      </c>
      <c r="AJ18" s="9">
        <f t="shared" si="8"/>
        <v>6</v>
      </c>
      <c r="AK18" s="9">
        <f t="shared" si="8"/>
        <v>3</v>
      </c>
      <c r="AL18" s="9">
        <f t="shared" si="8"/>
        <v>4</v>
      </c>
      <c r="AM18" s="12">
        <f>SUM(AM7:AM17)</f>
        <v>72</v>
      </c>
      <c r="AN18" s="13" t="str">
        <f>"10/29"</f>
        <v>10/29</v>
      </c>
      <c r="AO18" s="13" t="str">
        <f>"31/64"</f>
        <v>31/64</v>
      </c>
      <c r="AP18" s="13" t="str">
        <f>"0/1"</f>
        <v>0/1</v>
      </c>
      <c r="AQ18" s="11">
        <f t="shared" ref="AQ18:AV18" si="9">SUM(AQ7:AQ17)</f>
        <v>11</v>
      </c>
      <c r="AR18" s="11">
        <f t="shared" si="9"/>
        <v>34</v>
      </c>
      <c r="AS18" s="11">
        <f t="shared" si="9"/>
        <v>18</v>
      </c>
      <c r="AT18" s="11">
        <f t="shared" si="9"/>
        <v>52</v>
      </c>
      <c r="AU18" s="11">
        <f t="shared" si="9"/>
        <v>12</v>
      </c>
      <c r="AV18" s="11">
        <f t="shared" si="9"/>
        <v>5</v>
      </c>
    </row>
    <row r="19" spans="2:48" s="40" customFormat="1" thickBot="1" x14ac:dyDescent="0.25">
      <c r="B19" s="40" t="s">
        <v>54</v>
      </c>
      <c r="F19" s="67" t="str">
        <f>"26/17"</f>
        <v>26/17</v>
      </c>
      <c r="G19" s="68"/>
      <c r="H19" s="68"/>
      <c r="I19" s="68"/>
      <c r="J19" s="68"/>
      <c r="K19" s="69"/>
      <c r="O19" s="67" t="str">
        <f>"16/23"</f>
        <v>16/23</v>
      </c>
      <c r="P19" s="68"/>
      <c r="Q19" s="68"/>
      <c r="R19" s="68"/>
      <c r="S19" s="68"/>
      <c r="T19" s="69"/>
      <c r="X19" s="67" t="str">
        <f>"12/17"</f>
        <v>12/17</v>
      </c>
      <c r="Y19" s="68"/>
      <c r="Z19" s="68"/>
      <c r="AA19" s="68"/>
      <c r="AB19" s="68"/>
      <c r="AC19" s="69"/>
      <c r="AG19" s="67" t="str">
        <f>"18/8"</f>
        <v>18/8</v>
      </c>
      <c r="AH19" s="68"/>
      <c r="AI19" s="68"/>
      <c r="AJ19" s="68"/>
      <c r="AK19" s="68"/>
      <c r="AL19" s="69"/>
      <c r="AN19" s="14">
        <f>10/29</f>
        <v>0.34482758620689657</v>
      </c>
      <c r="AO19" s="14">
        <f>31/64</f>
        <v>0.484375</v>
      </c>
      <c r="AP19" s="14">
        <v>0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"42/40"</f>
        <v>42/40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"54/57"</f>
        <v>54/57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102</v>
      </c>
      <c r="AM21" s="48">
        <v>63</v>
      </c>
      <c r="AN21" s="42" t="s">
        <v>103</v>
      </c>
      <c r="AO21" s="42" t="s">
        <v>104</v>
      </c>
      <c r="AP21" s="42" t="s">
        <v>84</v>
      </c>
      <c r="AQ21" s="43">
        <v>5</v>
      </c>
      <c r="AR21" s="43">
        <v>29</v>
      </c>
      <c r="AS21" s="43">
        <v>23</v>
      </c>
      <c r="AT21" s="43">
        <v>52</v>
      </c>
      <c r="AU21" s="43">
        <v>16</v>
      </c>
      <c r="AV21" s="43">
        <v>12</v>
      </c>
    </row>
    <row r="22" spans="2:48" x14ac:dyDescent="0.25">
      <c r="C22" s="1" t="s">
        <v>20</v>
      </c>
      <c r="D22" s="1" t="s">
        <v>27</v>
      </c>
      <c r="AN22" s="14">
        <v>0.35294117647058826</v>
      </c>
      <c r="AO22" s="14">
        <v>0.38095238095238093</v>
      </c>
      <c r="AP22" s="14">
        <v>0.5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96</v>
      </c>
      <c r="AM24" s="48">
        <v>63</v>
      </c>
      <c r="AN24" s="42" t="s">
        <v>93</v>
      </c>
      <c r="AO24" s="42" t="s">
        <v>94</v>
      </c>
      <c r="AP24" s="42" t="s">
        <v>95</v>
      </c>
      <c r="AQ24" s="43">
        <v>8</v>
      </c>
      <c r="AR24" s="43">
        <v>31</v>
      </c>
      <c r="AS24" s="43">
        <v>16</v>
      </c>
      <c r="AT24" s="43">
        <v>47</v>
      </c>
      <c r="AU24" s="43">
        <v>25</v>
      </c>
      <c r="AV24" s="43">
        <v>11</v>
      </c>
    </row>
    <row r="25" spans="2:48" x14ac:dyDescent="0.25">
      <c r="C25" s="40" t="s">
        <v>23</v>
      </c>
      <c r="D25" s="40" t="s">
        <v>31</v>
      </c>
      <c r="E25" s="40"/>
      <c r="AN25" s="14">
        <v>0.42105263157894735</v>
      </c>
      <c r="AO25" s="14">
        <v>0.47272727272727272</v>
      </c>
      <c r="AP25" s="14">
        <v>0.1111111111111111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87</v>
      </c>
      <c r="AM27" s="48">
        <v>51</v>
      </c>
      <c r="AN27" s="42" t="s">
        <v>88</v>
      </c>
      <c r="AO27" s="42" t="s">
        <v>89</v>
      </c>
      <c r="AP27" s="42" t="s">
        <v>90</v>
      </c>
      <c r="AQ27" s="43">
        <v>5</v>
      </c>
      <c r="AR27" s="43">
        <v>16</v>
      </c>
      <c r="AS27" s="43">
        <v>11</v>
      </c>
      <c r="AT27" s="43">
        <v>27</v>
      </c>
      <c r="AU27" s="43">
        <v>31</v>
      </c>
      <c r="AV27" s="43">
        <v>10</v>
      </c>
    </row>
    <row r="28" spans="2:48" x14ac:dyDescent="0.25">
      <c r="AN28" s="14">
        <v>0.6</v>
      </c>
      <c r="AO28" s="14">
        <v>0.39622641509433965</v>
      </c>
      <c r="AP28" s="14">
        <v>0.25</v>
      </c>
    </row>
    <row r="30" spans="2:48" x14ac:dyDescent="0.25">
      <c r="AG30" s="1" t="s">
        <v>81</v>
      </c>
      <c r="AM30" s="48">
        <v>57</v>
      </c>
      <c r="AN30" s="42" t="s">
        <v>82</v>
      </c>
      <c r="AO30" s="42" t="s">
        <v>83</v>
      </c>
      <c r="AP30" s="42" t="s">
        <v>84</v>
      </c>
      <c r="AQ30" s="43">
        <v>7</v>
      </c>
      <c r="AR30" s="43">
        <v>29</v>
      </c>
      <c r="AS30" s="43">
        <v>13</v>
      </c>
      <c r="AT30" s="43">
        <v>42</v>
      </c>
      <c r="AU30" s="43">
        <v>23</v>
      </c>
      <c r="AV30" s="43">
        <v>9</v>
      </c>
    </row>
    <row r="31" spans="2:48" x14ac:dyDescent="0.25">
      <c r="AN31" s="14">
        <v>0.30769230769230771</v>
      </c>
      <c r="AO31" s="14">
        <v>0.37931034482758619</v>
      </c>
      <c r="AP31" s="14">
        <v>0.5</v>
      </c>
    </row>
    <row r="33" spans="33:48" x14ac:dyDescent="0.25">
      <c r="AG33" s="1" t="s">
        <v>77</v>
      </c>
      <c r="AM33" s="48">
        <v>47</v>
      </c>
      <c r="AN33" s="42" t="s">
        <v>78</v>
      </c>
      <c r="AO33" s="42" t="s">
        <v>79</v>
      </c>
      <c r="AP33" s="42" t="s">
        <v>80</v>
      </c>
      <c r="AQ33" s="43">
        <v>1</v>
      </c>
      <c r="AR33" s="43">
        <v>31</v>
      </c>
      <c r="AS33" s="43">
        <v>5</v>
      </c>
      <c r="AT33" s="43">
        <v>36</v>
      </c>
      <c r="AU33" s="43">
        <v>34</v>
      </c>
      <c r="AV33" s="43">
        <v>10</v>
      </c>
    </row>
    <row r="34" spans="33:48" x14ac:dyDescent="0.25">
      <c r="AN34" s="14">
        <v>0.21428571428571427</v>
      </c>
      <c r="AO34" s="14">
        <v>0.32653061224489793</v>
      </c>
      <c r="AP34" s="14">
        <v>0.44444444444444442</v>
      </c>
    </row>
    <row r="36" spans="33:48" x14ac:dyDescent="0.25">
      <c r="AG36" s="1" t="s">
        <v>70</v>
      </c>
      <c r="AM36" s="48">
        <v>44</v>
      </c>
      <c r="AN36" s="42" t="s">
        <v>71</v>
      </c>
      <c r="AO36" s="42" t="s">
        <v>72</v>
      </c>
      <c r="AP36" s="42" t="s">
        <v>73</v>
      </c>
      <c r="AQ36" s="43">
        <v>3</v>
      </c>
      <c r="AR36" s="43">
        <v>31</v>
      </c>
      <c r="AS36" s="43">
        <v>12</v>
      </c>
      <c r="AT36" s="43">
        <v>43</v>
      </c>
      <c r="AU36" s="43">
        <v>26</v>
      </c>
      <c r="AV36" s="43">
        <v>11</v>
      </c>
    </row>
    <row r="37" spans="33:48" x14ac:dyDescent="0.25">
      <c r="AN37" s="14">
        <v>0.23809523809523808</v>
      </c>
      <c r="AO37" s="14">
        <v>0.26315789473684209</v>
      </c>
      <c r="AP37" s="14">
        <v>0.33333333333333331</v>
      </c>
    </row>
    <row r="39" spans="33:48" x14ac:dyDescent="0.25">
      <c r="AG39" s="1" t="s">
        <v>64</v>
      </c>
      <c r="AM39" s="48">
        <v>38</v>
      </c>
      <c r="AN39" s="42" t="s">
        <v>65</v>
      </c>
      <c r="AO39" s="42" t="s">
        <v>66</v>
      </c>
      <c r="AP39" s="42" t="s">
        <v>52</v>
      </c>
      <c r="AQ39" s="43">
        <v>2</v>
      </c>
      <c r="AR39" s="43">
        <v>20</v>
      </c>
      <c r="AS39" s="43">
        <v>10</v>
      </c>
      <c r="AT39" s="43">
        <v>30</v>
      </c>
      <c r="AU39" s="43">
        <v>24</v>
      </c>
      <c r="AV39" s="43">
        <v>3</v>
      </c>
    </row>
    <row r="40" spans="33:48" x14ac:dyDescent="0.25">
      <c r="AN40" s="14">
        <v>0.23076923076923078</v>
      </c>
      <c r="AO40" s="14">
        <v>0.2857142857142857</v>
      </c>
      <c r="AP40" s="14">
        <v>1</v>
      </c>
    </row>
    <row r="42" spans="33:48" x14ac:dyDescent="0.25">
      <c r="AG42" s="1" t="s">
        <v>58</v>
      </c>
      <c r="AM42" s="48">
        <v>56</v>
      </c>
      <c r="AN42" s="42" t="s">
        <v>59</v>
      </c>
      <c r="AO42" s="42" t="s">
        <v>60</v>
      </c>
      <c r="AP42" s="42" t="s">
        <v>61</v>
      </c>
      <c r="AQ42" s="43">
        <v>5</v>
      </c>
      <c r="AR42" s="43">
        <v>31</v>
      </c>
      <c r="AS42" s="43">
        <v>8</v>
      </c>
      <c r="AT42" s="43">
        <v>39</v>
      </c>
      <c r="AU42" s="43">
        <v>22</v>
      </c>
      <c r="AV42" s="43">
        <v>6</v>
      </c>
    </row>
    <row r="43" spans="33:48" x14ac:dyDescent="0.25">
      <c r="AN43" s="14">
        <v>0.52631578947368418</v>
      </c>
      <c r="AO43" s="14">
        <v>0.40740740740740738</v>
      </c>
      <c r="AP43" s="14">
        <v>0.5</v>
      </c>
    </row>
    <row r="45" spans="33:48" x14ac:dyDescent="0.25">
      <c r="AG45" s="1" t="s">
        <v>53</v>
      </c>
      <c r="AM45" s="48">
        <v>47</v>
      </c>
      <c r="AN45" s="42" t="s">
        <v>49</v>
      </c>
      <c r="AO45" s="42" t="s">
        <v>50</v>
      </c>
      <c r="AP45" s="42" t="s">
        <v>51</v>
      </c>
      <c r="AQ45" s="43">
        <v>5</v>
      </c>
      <c r="AR45" s="43">
        <v>24</v>
      </c>
      <c r="AS45" s="43">
        <v>6</v>
      </c>
      <c r="AT45" s="43">
        <v>30</v>
      </c>
      <c r="AU45" s="43">
        <v>29</v>
      </c>
      <c r="AV45" s="43">
        <v>9</v>
      </c>
    </row>
    <row r="46" spans="33:48" x14ac:dyDescent="0.25">
      <c r="AN46" s="14">
        <v>0.53846153846153844</v>
      </c>
      <c r="AO46" s="14">
        <v>0.33333333333333331</v>
      </c>
      <c r="AP46" s="14">
        <v>0.33333333333333331</v>
      </c>
    </row>
    <row r="48" spans="33:48" x14ac:dyDescent="0.25">
      <c r="AG48" s="1" t="s">
        <v>46</v>
      </c>
      <c r="AM48" s="48">
        <v>33</v>
      </c>
      <c r="AN48" s="42" t="s">
        <v>98</v>
      </c>
      <c r="AO48" s="42" t="s">
        <v>99</v>
      </c>
      <c r="AP48" s="42" t="s">
        <v>52</v>
      </c>
      <c r="AQ48" s="43">
        <v>3</v>
      </c>
      <c r="AR48" s="43">
        <v>16</v>
      </c>
      <c r="AS48" s="43">
        <v>7</v>
      </c>
      <c r="AT48" s="43">
        <v>23</v>
      </c>
      <c r="AU48" s="43">
        <v>37</v>
      </c>
      <c r="AV48" s="43">
        <v>18</v>
      </c>
    </row>
    <row r="49" spans="40:42" x14ac:dyDescent="0.25">
      <c r="AN49" s="14">
        <v>0.5</v>
      </c>
      <c r="AO49" s="14">
        <v>0.28947368421052633</v>
      </c>
      <c r="AP49" s="14">
        <v>1</v>
      </c>
    </row>
  </sheetData>
  <mergeCells count="15">
    <mergeCell ref="AM5:AV5"/>
    <mergeCell ref="F19:K19"/>
    <mergeCell ref="O19:T19"/>
    <mergeCell ref="X19:AC19"/>
    <mergeCell ref="AG19:AL19"/>
    <mergeCell ref="AD5:AL5"/>
    <mergeCell ref="L20:N20"/>
    <mergeCell ref="O20:T20"/>
    <mergeCell ref="U20:W20"/>
    <mergeCell ref="X20:AC20"/>
    <mergeCell ref="K2:N2"/>
    <mergeCell ref="W2:X2"/>
    <mergeCell ref="C5:K5"/>
    <mergeCell ref="L5:T5"/>
    <mergeCell ref="U5:AC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V52"/>
  <sheetViews>
    <sheetView workbookViewId="0">
      <selection activeCell="W2" sqref="W2:X2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5.1406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4.7109375" style="1" customWidth="1"/>
    <col min="39" max="39" width="3.7109375" style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110</v>
      </c>
      <c r="I2" s="40" t="s">
        <v>38</v>
      </c>
      <c r="K2" s="52">
        <v>43170</v>
      </c>
      <c r="L2" s="52"/>
      <c r="M2" s="52"/>
      <c r="N2" s="52"/>
      <c r="Q2" s="45" t="s">
        <v>47</v>
      </c>
      <c r="W2" s="65" t="str">
        <f>"81/47"</f>
        <v>81/47</v>
      </c>
      <c r="X2" s="66"/>
    </row>
    <row r="3" spans="2:48" x14ac:dyDescent="0.25">
      <c r="B3" s="40" t="s">
        <v>36</v>
      </c>
      <c r="C3" s="1" t="s">
        <v>76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>
        <v>2</v>
      </c>
      <c r="D7" s="7"/>
      <c r="E7" s="7" t="str">
        <f>"1/3"</f>
        <v>1/3</v>
      </c>
      <c r="F7" s="7"/>
      <c r="G7" s="6">
        <v>1</v>
      </c>
      <c r="H7" s="6">
        <v>2</v>
      </c>
      <c r="I7" s="6">
        <v>1</v>
      </c>
      <c r="J7" s="6"/>
      <c r="K7" s="6">
        <v>1</v>
      </c>
      <c r="L7" s="5">
        <v>4</v>
      </c>
      <c r="M7" s="7"/>
      <c r="N7" s="7" t="str">
        <f>"2/3"</f>
        <v>2/3</v>
      </c>
      <c r="O7" s="7"/>
      <c r="P7" s="6">
        <v>1</v>
      </c>
      <c r="Q7" s="6">
        <v>3</v>
      </c>
      <c r="R7" s="6"/>
      <c r="S7" s="6"/>
      <c r="T7" s="6"/>
      <c r="U7" s="5">
        <v>4</v>
      </c>
      <c r="V7" s="7"/>
      <c r="W7" s="7" t="str">
        <f>"2/3"</f>
        <v>2/3</v>
      </c>
      <c r="X7" s="7"/>
      <c r="Y7" s="6"/>
      <c r="Z7" s="6">
        <v>3</v>
      </c>
      <c r="AA7" s="6">
        <v>2</v>
      </c>
      <c r="AB7" s="6"/>
      <c r="AC7" s="6"/>
      <c r="AD7" s="5">
        <v>6</v>
      </c>
      <c r="AE7" s="7"/>
      <c r="AF7" s="7" t="str">
        <f>"3/3"</f>
        <v>3/3</v>
      </c>
      <c r="AG7" s="7"/>
      <c r="AH7" s="6">
        <v>1</v>
      </c>
      <c r="AI7" s="6">
        <v>3</v>
      </c>
      <c r="AJ7" s="6">
        <v>3</v>
      </c>
      <c r="AK7" s="6"/>
      <c r="AL7" s="6"/>
      <c r="AM7" s="25">
        <f>C7+L7+U7+AD7</f>
        <v>16</v>
      </c>
      <c r="AN7" s="26"/>
      <c r="AO7" s="26" t="str">
        <f>"8/12"</f>
        <v>8/12</v>
      </c>
      <c r="AP7" s="26"/>
      <c r="AQ7" s="32">
        <f t="shared" ref="AQ7:AS17" si="0">G7+P7+Y7+AH7</f>
        <v>3</v>
      </c>
      <c r="AR7" s="28">
        <f>H7+Q7+Z7+AI7</f>
        <v>11</v>
      </c>
      <c r="AS7" s="27">
        <f>I7+R7+AA7+AJ7</f>
        <v>6</v>
      </c>
      <c r="AT7" s="29">
        <f>AR7+AS7</f>
        <v>17</v>
      </c>
      <c r="AU7" s="27">
        <f>J7+S7+AB7+AK7</f>
        <v>0</v>
      </c>
      <c r="AV7" s="37">
        <f>K7+T7+AC7+AL7</f>
        <v>1</v>
      </c>
    </row>
    <row r="8" spans="2:48" x14ac:dyDescent="0.25">
      <c r="B8" s="5" t="s">
        <v>12</v>
      </c>
      <c r="C8" s="5"/>
      <c r="D8" s="7"/>
      <c r="E8" s="7" t="str">
        <f>"0/3"</f>
        <v>0/3</v>
      </c>
      <c r="F8" s="7"/>
      <c r="G8" s="6"/>
      <c r="H8" s="6"/>
      <c r="I8" s="6">
        <v>1</v>
      </c>
      <c r="J8" s="6"/>
      <c r="K8" s="6"/>
      <c r="L8" s="5"/>
      <c r="M8" s="7"/>
      <c r="N8" s="7"/>
      <c r="O8" s="7"/>
      <c r="P8" s="6"/>
      <c r="Q8" s="6"/>
      <c r="R8" s="6"/>
      <c r="S8" s="6"/>
      <c r="T8" s="6"/>
      <c r="U8" s="5">
        <v>3</v>
      </c>
      <c r="V8" s="7" t="str">
        <f>"1/2"</f>
        <v>1/2</v>
      </c>
      <c r="W8" s="7" t="str">
        <f>"1/2"</f>
        <v>1/2</v>
      </c>
      <c r="X8" s="7"/>
      <c r="Y8" s="6"/>
      <c r="Z8" s="6">
        <v>3</v>
      </c>
      <c r="AA8" s="6"/>
      <c r="AB8" s="6"/>
      <c r="AC8" s="6"/>
      <c r="AD8" s="5">
        <v>2</v>
      </c>
      <c r="AE8" s="7"/>
      <c r="AF8" s="7" t="str">
        <f>"1/3"</f>
        <v>1/3</v>
      </c>
      <c r="AG8" s="7"/>
      <c r="AH8" s="6"/>
      <c r="AI8" s="6">
        <v>3</v>
      </c>
      <c r="AJ8" s="6"/>
      <c r="AK8" s="6">
        <v>1</v>
      </c>
      <c r="AL8" s="6"/>
      <c r="AM8" s="15">
        <f>C8+L8+U8+AD8</f>
        <v>5</v>
      </c>
      <c r="AN8" s="19" t="str">
        <f>"1/2"</f>
        <v>1/2</v>
      </c>
      <c r="AO8" s="19" t="str">
        <f>"2/8"</f>
        <v>2/8</v>
      </c>
      <c r="AP8" s="19"/>
      <c r="AQ8" s="33">
        <f t="shared" si="0"/>
        <v>0</v>
      </c>
      <c r="AR8" s="21">
        <f>H8+Q8+Z8+AI8</f>
        <v>6</v>
      </c>
      <c r="AS8" s="6">
        <f>I8+R8+AA8+AJ8</f>
        <v>1</v>
      </c>
      <c r="AT8" s="22">
        <f t="shared" ref="AT8:AT17" si="1">AR8+AS8</f>
        <v>7</v>
      </c>
      <c r="AU8" s="6">
        <f>J8+S8+AB8+AK8</f>
        <v>1</v>
      </c>
      <c r="AV8" s="38">
        <f>K8+T8+AC8+AL8</f>
        <v>0</v>
      </c>
    </row>
    <row r="9" spans="2:48" x14ac:dyDescent="0.25">
      <c r="B9" s="5" t="s">
        <v>41</v>
      </c>
      <c r="C9" s="5">
        <v>13</v>
      </c>
      <c r="D9" s="7" t="str">
        <f>"0/1"</f>
        <v>0/1</v>
      </c>
      <c r="E9" s="7" t="str">
        <f>"5/5"</f>
        <v>5/5</v>
      </c>
      <c r="F9" s="7" t="str">
        <f>"1/1"</f>
        <v>1/1</v>
      </c>
      <c r="G9" s="6">
        <v>1</v>
      </c>
      <c r="H9" s="6"/>
      <c r="I9" s="6"/>
      <c r="J9" s="6"/>
      <c r="K9" s="6">
        <v>1</v>
      </c>
      <c r="L9" s="5">
        <v>6</v>
      </c>
      <c r="M9" s="7" t="str">
        <f>"2/2"</f>
        <v>2/2</v>
      </c>
      <c r="N9" s="7" t="str">
        <f>"2/2"</f>
        <v>2/2</v>
      </c>
      <c r="O9" s="7"/>
      <c r="P9" s="6"/>
      <c r="Q9" s="6">
        <v>1</v>
      </c>
      <c r="R9" s="6"/>
      <c r="S9" s="6"/>
      <c r="T9" s="6"/>
      <c r="U9" s="5">
        <v>7</v>
      </c>
      <c r="V9" s="7" t="str">
        <f>"2/4"</f>
        <v>2/4</v>
      </c>
      <c r="W9" s="7" t="str">
        <f>"1/4"</f>
        <v>1/4</v>
      </c>
      <c r="X9" s="7" t="str">
        <f>"1/2"</f>
        <v>1/2</v>
      </c>
      <c r="Y9" s="6">
        <v>2</v>
      </c>
      <c r="Z9" s="6"/>
      <c r="AA9" s="6"/>
      <c r="AB9" s="6"/>
      <c r="AC9" s="6"/>
      <c r="AD9" s="5"/>
      <c r="AE9" s="7"/>
      <c r="AF9" s="7" t="str">
        <f>"0/1"</f>
        <v>0/1</v>
      </c>
      <c r="AG9" s="7"/>
      <c r="AH9" s="6"/>
      <c r="AI9" s="6"/>
      <c r="AJ9" s="6"/>
      <c r="AK9" s="6">
        <v>2</v>
      </c>
      <c r="AL9" s="6"/>
      <c r="AM9" s="15">
        <f>C9+L9+U9+AD9</f>
        <v>26</v>
      </c>
      <c r="AN9" s="19" t="str">
        <f>"4/7"</f>
        <v>4/7</v>
      </c>
      <c r="AO9" s="19" t="str">
        <f>"8/12"</f>
        <v>8/12</v>
      </c>
      <c r="AP9" s="19" t="str">
        <f>"2/3"</f>
        <v>2/3</v>
      </c>
      <c r="AQ9" s="33">
        <f>G9+P9+Y9+AH9</f>
        <v>3</v>
      </c>
      <c r="AR9" s="21">
        <f t="shared" si="0"/>
        <v>1</v>
      </c>
      <c r="AS9" s="6">
        <f t="shared" si="0"/>
        <v>0</v>
      </c>
      <c r="AT9" s="22">
        <f t="shared" si="1"/>
        <v>1</v>
      </c>
      <c r="AU9" s="6">
        <f t="shared" ref="AU9:AV17" si="2">J9+S9+AB9+AK9</f>
        <v>2</v>
      </c>
      <c r="AV9" s="38">
        <f t="shared" si="2"/>
        <v>1</v>
      </c>
    </row>
    <row r="10" spans="2:48" x14ac:dyDescent="0.25">
      <c r="B10" s="5" t="s">
        <v>10</v>
      </c>
      <c r="C10" s="5">
        <v>3</v>
      </c>
      <c r="D10" s="7"/>
      <c r="E10" s="7" t="str">
        <f>"0/1"</f>
        <v>0/1</v>
      </c>
      <c r="F10" s="7" t="str">
        <f>"1/1"</f>
        <v>1/1</v>
      </c>
      <c r="G10" s="6">
        <v>1</v>
      </c>
      <c r="H10" s="6">
        <v>1</v>
      </c>
      <c r="I10" s="6"/>
      <c r="J10" s="6">
        <v>1</v>
      </c>
      <c r="K10" s="6"/>
      <c r="L10" s="5"/>
      <c r="M10" s="7"/>
      <c r="N10" s="7"/>
      <c r="O10" s="7"/>
      <c r="P10" s="6"/>
      <c r="Q10" s="6">
        <v>2</v>
      </c>
      <c r="R10" s="6"/>
      <c r="S10" s="6">
        <v>1</v>
      </c>
      <c r="T10" s="6"/>
      <c r="U10" s="5">
        <v>3</v>
      </c>
      <c r="V10" s="7" t="str">
        <f>"1/3"</f>
        <v>1/3</v>
      </c>
      <c r="W10" s="7" t="str">
        <f>"1/3"</f>
        <v>1/3</v>
      </c>
      <c r="X10" s="7"/>
      <c r="Y10" s="6"/>
      <c r="Z10" s="6"/>
      <c r="AA10" s="6"/>
      <c r="AB10" s="6"/>
      <c r="AC10" s="6">
        <v>1</v>
      </c>
      <c r="AD10" s="5"/>
      <c r="AE10" s="7"/>
      <c r="AF10" s="7" t="str">
        <f>"0/1"</f>
        <v>0/1</v>
      </c>
      <c r="AG10" s="7"/>
      <c r="AH10" s="6"/>
      <c r="AI10" s="6">
        <v>1</v>
      </c>
      <c r="AJ10" s="6"/>
      <c r="AK10" s="6"/>
      <c r="AL10" s="6"/>
      <c r="AM10" s="15">
        <f>C10+L10+U10+AD10</f>
        <v>6</v>
      </c>
      <c r="AN10" s="19" t="str">
        <f>"1/3"</f>
        <v>1/3</v>
      </c>
      <c r="AO10" s="19" t="str">
        <f>"1/5"</f>
        <v>1/5</v>
      </c>
      <c r="AP10" s="19" t="str">
        <f>"1/1"</f>
        <v>1/1</v>
      </c>
      <c r="AQ10" s="33">
        <f t="shared" ref="AQ10:AR17" si="3">G10+P10+Y10+AH10</f>
        <v>1</v>
      </c>
      <c r="AR10" s="21">
        <f>H10+Q10+Z10+AI10</f>
        <v>4</v>
      </c>
      <c r="AS10" s="6">
        <f t="shared" si="0"/>
        <v>0</v>
      </c>
      <c r="AT10" s="22">
        <f t="shared" si="1"/>
        <v>4</v>
      </c>
      <c r="AU10" s="6">
        <f t="shared" si="2"/>
        <v>2</v>
      </c>
      <c r="AV10" s="38">
        <f t="shared" si="2"/>
        <v>1</v>
      </c>
    </row>
    <row r="11" spans="2:48" x14ac:dyDescent="0.25">
      <c r="B11" s="5" t="s">
        <v>15</v>
      </c>
      <c r="C11" s="5">
        <v>4</v>
      </c>
      <c r="D11" s="7"/>
      <c r="E11" s="7" t="str">
        <f>"2/3"</f>
        <v>2/3</v>
      </c>
      <c r="F11" s="7"/>
      <c r="G11" s="6">
        <v>1</v>
      </c>
      <c r="H11" s="6"/>
      <c r="I11" s="6"/>
      <c r="J11" s="6">
        <v>1</v>
      </c>
      <c r="K11" s="6"/>
      <c r="L11" s="5">
        <v>9</v>
      </c>
      <c r="M11" s="7"/>
      <c r="N11" s="7" t="str">
        <f>"3/3"</f>
        <v>3/3</v>
      </c>
      <c r="O11" s="7" t="str">
        <f>"1/2"</f>
        <v>1/2</v>
      </c>
      <c r="P11" s="6"/>
      <c r="Q11" s="6">
        <v>3</v>
      </c>
      <c r="R11" s="6"/>
      <c r="S11" s="6">
        <v>1</v>
      </c>
      <c r="T11" s="6"/>
      <c r="U11" s="5">
        <v>2</v>
      </c>
      <c r="V11" s="7"/>
      <c r="W11" s="7" t="str">
        <f>"1/1"</f>
        <v>1/1</v>
      </c>
      <c r="X11" s="7"/>
      <c r="Y11" s="6"/>
      <c r="Z11" s="6">
        <v>2</v>
      </c>
      <c r="AA11" s="6"/>
      <c r="AB11" s="6">
        <v>4</v>
      </c>
      <c r="AC11" s="6">
        <v>1</v>
      </c>
      <c r="AD11" s="5">
        <v>4</v>
      </c>
      <c r="AE11" s="7"/>
      <c r="AF11" s="7" t="str">
        <f>"2/4"</f>
        <v>2/4</v>
      </c>
      <c r="AG11" s="7" t="str">
        <f>"0/1"</f>
        <v>0/1</v>
      </c>
      <c r="AH11" s="6"/>
      <c r="AI11" s="6">
        <v>1</v>
      </c>
      <c r="AJ11" s="6"/>
      <c r="AK11" s="6">
        <v>2</v>
      </c>
      <c r="AL11" s="6"/>
      <c r="AM11" s="15">
        <f t="shared" ref="AM11:AM12" si="4">C11+L11+U11+AD11</f>
        <v>19</v>
      </c>
      <c r="AN11" s="19"/>
      <c r="AO11" s="19" t="str">
        <f>"8/11"</f>
        <v>8/11</v>
      </c>
      <c r="AP11" s="19" t="str">
        <f>"1/3"</f>
        <v>1/3</v>
      </c>
      <c r="AQ11" s="33">
        <f t="shared" si="3"/>
        <v>1</v>
      </c>
      <c r="AR11" s="21">
        <f t="shared" si="3"/>
        <v>6</v>
      </c>
      <c r="AS11" s="6">
        <f t="shared" si="0"/>
        <v>0</v>
      </c>
      <c r="AT11" s="22">
        <f t="shared" si="1"/>
        <v>6</v>
      </c>
      <c r="AU11" s="6">
        <f t="shared" si="2"/>
        <v>8</v>
      </c>
      <c r="AV11" s="38">
        <f t="shared" si="2"/>
        <v>1</v>
      </c>
    </row>
    <row r="12" spans="2:48" x14ac:dyDescent="0.25">
      <c r="B12" s="5" t="s">
        <v>40</v>
      </c>
      <c r="C12" s="5"/>
      <c r="D12" s="7"/>
      <c r="E12" s="7"/>
      <c r="F12" s="7"/>
      <c r="G12" s="6"/>
      <c r="H12" s="6"/>
      <c r="I12" s="6"/>
      <c r="J12" s="6"/>
      <c r="K12" s="6"/>
      <c r="L12" s="5"/>
      <c r="M12" s="7"/>
      <c r="N12" s="7"/>
      <c r="O12" s="7"/>
      <c r="P12" s="6"/>
      <c r="Q12" s="6"/>
      <c r="R12" s="6"/>
      <c r="S12" s="6"/>
      <c r="T12" s="6"/>
      <c r="U12" s="5"/>
      <c r="V12" s="7"/>
      <c r="W12" s="7"/>
      <c r="X12" s="7"/>
      <c r="Y12" s="6"/>
      <c r="Z12" s="6"/>
      <c r="AA12" s="6"/>
      <c r="AB12" s="6"/>
      <c r="AC12" s="6"/>
      <c r="AD12" s="5"/>
      <c r="AE12" s="7"/>
      <c r="AF12" s="7"/>
      <c r="AG12" s="7"/>
      <c r="AH12" s="6"/>
      <c r="AI12" s="6"/>
      <c r="AJ12" s="6"/>
      <c r="AK12" s="6"/>
      <c r="AL12" s="6"/>
      <c r="AM12" s="15">
        <f t="shared" si="4"/>
        <v>0</v>
      </c>
      <c r="AN12" s="19"/>
      <c r="AO12" s="19"/>
      <c r="AP12" s="19"/>
      <c r="AQ12" s="33">
        <f t="shared" si="3"/>
        <v>0</v>
      </c>
      <c r="AR12" s="21">
        <f t="shared" si="3"/>
        <v>0</v>
      </c>
      <c r="AS12" s="6">
        <f t="shared" si="0"/>
        <v>0</v>
      </c>
      <c r="AT12" s="22">
        <f t="shared" si="1"/>
        <v>0</v>
      </c>
      <c r="AU12" s="6">
        <f t="shared" si="2"/>
        <v>0</v>
      </c>
      <c r="AV12" s="38">
        <f t="shared" si="2"/>
        <v>0</v>
      </c>
    </row>
    <row r="13" spans="2:48" x14ac:dyDescent="0.25">
      <c r="B13" s="5" t="s">
        <v>13</v>
      </c>
      <c r="C13" s="5"/>
      <c r="D13" s="7"/>
      <c r="E13" s="7"/>
      <c r="F13" s="7"/>
      <c r="G13" s="6"/>
      <c r="H13" s="6"/>
      <c r="I13" s="6"/>
      <c r="J13" s="6"/>
      <c r="K13" s="6"/>
      <c r="L13" s="5"/>
      <c r="M13" s="7"/>
      <c r="N13" s="7" t="str">
        <f>"0/1"</f>
        <v>0/1</v>
      </c>
      <c r="O13" s="7"/>
      <c r="P13" s="6"/>
      <c r="Q13" s="6">
        <v>3</v>
      </c>
      <c r="R13" s="6">
        <v>1</v>
      </c>
      <c r="S13" s="6">
        <v>1</v>
      </c>
      <c r="T13" s="6">
        <v>1</v>
      </c>
      <c r="U13" s="5"/>
      <c r="V13" s="7"/>
      <c r="W13" s="7" t="str">
        <f>"0/1"</f>
        <v>0/1</v>
      </c>
      <c r="X13" s="7"/>
      <c r="Y13" s="6"/>
      <c r="Z13" s="6"/>
      <c r="AA13" s="6"/>
      <c r="AB13" s="6">
        <v>1</v>
      </c>
      <c r="AC13" s="6"/>
      <c r="AD13" s="5"/>
      <c r="AE13" s="7"/>
      <c r="AF13" s="7"/>
      <c r="AG13" s="7"/>
      <c r="AH13" s="6"/>
      <c r="AI13" s="6"/>
      <c r="AJ13" s="6"/>
      <c r="AK13" s="6">
        <v>2</v>
      </c>
      <c r="AL13" s="6"/>
      <c r="AM13" s="15">
        <f>C13+L13+U13+AD13</f>
        <v>0</v>
      </c>
      <c r="AN13" s="19"/>
      <c r="AO13" s="19" t="str">
        <f>"0/2"</f>
        <v>0/2</v>
      </c>
      <c r="AP13" s="19"/>
      <c r="AQ13" s="33">
        <f t="shared" si="3"/>
        <v>0</v>
      </c>
      <c r="AR13" s="21">
        <f t="shared" si="3"/>
        <v>3</v>
      </c>
      <c r="AS13" s="6">
        <f t="shared" si="0"/>
        <v>1</v>
      </c>
      <c r="AT13" s="22">
        <f t="shared" si="1"/>
        <v>4</v>
      </c>
      <c r="AU13" s="6">
        <f t="shared" si="2"/>
        <v>4</v>
      </c>
      <c r="AV13" s="38">
        <f t="shared" si="2"/>
        <v>1</v>
      </c>
    </row>
    <row r="14" spans="2:48" x14ac:dyDescent="0.25">
      <c r="B14" s="5" t="s">
        <v>67</v>
      </c>
      <c r="C14" s="5">
        <v>2</v>
      </c>
      <c r="D14" s="7"/>
      <c r="E14" s="7" t="str">
        <f>"1/3"</f>
        <v>1/3</v>
      </c>
      <c r="F14" s="7"/>
      <c r="G14" s="6">
        <v>1</v>
      </c>
      <c r="H14" s="6">
        <v>1</v>
      </c>
      <c r="I14" s="6"/>
      <c r="J14" s="6"/>
      <c r="K14" s="6"/>
      <c r="L14" s="5">
        <v>5</v>
      </c>
      <c r="M14" s="7"/>
      <c r="N14" s="7" t="str">
        <f>"1/1"</f>
        <v>1/1</v>
      </c>
      <c r="O14" s="7" t="str">
        <f>"1/2"</f>
        <v>1/2</v>
      </c>
      <c r="P14" s="6"/>
      <c r="Q14" s="6"/>
      <c r="R14" s="6"/>
      <c r="S14" s="6"/>
      <c r="T14" s="6">
        <v>1</v>
      </c>
      <c r="U14" s="5"/>
      <c r="V14" s="7"/>
      <c r="W14" s="7" t="str">
        <f>"0/1"</f>
        <v>0/1</v>
      </c>
      <c r="X14" s="7" t="str">
        <f>"0/1"</f>
        <v>0/1</v>
      </c>
      <c r="Y14" s="6"/>
      <c r="Z14" s="6">
        <v>1</v>
      </c>
      <c r="AA14" s="6"/>
      <c r="AB14" s="6"/>
      <c r="AC14" s="6"/>
      <c r="AD14" s="5">
        <v>2</v>
      </c>
      <c r="AE14" s="7"/>
      <c r="AF14" s="7" t="str">
        <f>"1/2"</f>
        <v>1/2</v>
      </c>
      <c r="AG14" s="7"/>
      <c r="AH14" s="6"/>
      <c r="AI14" s="6">
        <v>1</v>
      </c>
      <c r="AJ14" s="6"/>
      <c r="AK14" s="6">
        <v>2</v>
      </c>
      <c r="AL14" s="6"/>
      <c r="AM14" s="15">
        <f>C14+L14+U14+AD14</f>
        <v>9</v>
      </c>
      <c r="AN14" s="19"/>
      <c r="AO14" s="19" t="str">
        <f>"3/7"</f>
        <v>3/7</v>
      </c>
      <c r="AP14" s="19" t="str">
        <f>"1/3"</f>
        <v>1/3</v>
      </c>
      <c r="AQ14" s="33">
        <f t="shared" si="3"/>
        <v>1</v>
      </c>
      <c r="AR14" s="21">
        <f t="shared" si="3"/>
        <v>3</v>
      </c>
      <c r="AS14" s="6">
        <f t="shared" si="0"/>
        <v>0</v>
      </c>
      <c r="AT14" s="22">
        <f t="shared" si="1"/>
        <v>3</v>
      </c>
      <c r="AU14" s="6">
        <f t="shared" si="2"/>
        <v>2</v>
      </c>
      <c r="AV14" s="38">
        <f t="shared" si="2"/>
        <v>1</v>
      </c>
    </row>
    <row r="15" spans="2:48" x14ac:dyDescent="0.25">
      <c r="B15" s="5" t="s">
        <v>106</v>
      </c>
      <c r="C15" s="5"/>
      <c r="D15" s="7"/>
      <c r="E15" s="7"/>
      <c r="F15" s="7"/>
      <c r="G15" s="6"/>
      <c r="H15" s="6"/>
      <c r="I15" s="6"/>
      <c r="J15" s="6"/>
      <c r="K15" s="6"/>
      <c r="L15" s="5"/>
      <c r="M15" s="7"/>
      <c r="N15" s="7" t="str">
        <f>"0/1"</f>
        <v>0/1</v>
      </c>
      <c r="O15" s="7"/>
      <c r="P15" s="6"/>
      <c r="Q15" s="6"/>
      <c r="R15" s="6">
        <v>1</v>
      </c>
      <c r="S15" s="6"/>
      <c r="T15" s="6"/>
      <c r="U15" s="5"/>
      <c r="V15" s="7"/>
      <c r="W15" s="7"/>
      <c r="X15" s="7"/>
      <c r="Y15" s="6"/>
      <c r="Z15" s="6">
        <v>1</v>
      </c>
      <c r="AA15" s="6"/>
      <c r="AB15" s="6"/>
      <c r="AC15" s="6"/>
      <c r="AD15" s="5"/>
      <c r="AE15" s="7"/>
      <c r="AF15" s="7"/>
      <c r="AG15" s="7"/>
      <c r="AH15" s="6"/>
      <c r="AI15" s="6"/>
      <c r="AJ15" s="6"/>
      <c r="AK15" s="6">
        <v>1</v>
      </c>
      <c r="AL15" s="6"/>
      <c r="AM15" s="15">
        <f>C15+L15+U15+AD15</f>
        <v>0</v>
      </c>
      <c r="AN15" s="19"/>
      <c r="AO15" s="19" t="str">
        <f>"0/1"</f>
        <v>0/1</v>
      </c>
      <c r="AP15" s="19"/>
      <c r="AQ15" s="33">
        <f t="shared" si="3"/>
        <v>0</v>
      </c>
      <c r="AR15" s="21">
        <f t="shared" si="3"/>
        <v>1</v>
      </c>
      <c r="AS15" s="6">
        <f t="shared" si="0"/>
        <v>1</v>
      </c>
      <c r="AT15" s="22">
        <f t="shared" si="1"/>
        <v>2</v>
      </c>
      <c r="AU15" s="6">
        <f t="shared" si="2"/>
        <v>1</v>
      </c>
      <c r="AV15" s="38">
        <f t="shared" si="2"/>
        <v>0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3"/>
        <v>0</v>
      </c>
      <c r="AR16" s="21">
        <f t="shared" si="3"/>
        <v>0</v>
      </c>
      <c r="AS16" s="6">
        <f t="shared" si="0"/>
        <v>0</v>
      </c>
      <c r="AT16" s="22">
        <f t="shared" si="1"/>
        <v>0</v>
      </c>
      <c r="AU16" s="6">
        <f t="shared" si="2"/>
        <v>0</v>
      </c>
      <c r="AV16" s="38">
        <f t="shared" si="2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3"/>
        <v>0</v>
      </c>
      <c r="AR17" s="30">
        <f t="shared" si="3"/>
        <v>0</v>
      </c>
      <c r="AS17" s="4">
        <f t="shared" si="0"/>
        <v>0</v>
      </c>
      <c r="AT17" s="31">
        <f t="shared" si="1"/>
        <v>0</v>
      </c>
      <c r="AU17" s="4">
        <f t="shared" si="2"/>
        <v>0</v>
      </c>
      <c r="AV17" s="39">
        <f t="shared" si="2"/>
        <v>0</v>
      </c>
    </row>
    <row r="18" spans="2:48" s="9" customFormat="1" thickBot="1" x14ac:dyDescent="0.25">
      <c r="C18" s="11">
        <f>SUM(C7:C17)</f>
        <v>24</v>
      </c>
      <c r="D18" s="10" t="str">
        <f>"0/1"</f>
        <v>0/1</v>
      </c>
      <c r="E18" s="10" t="str">
        <f>"9/18"</f>
        <v>9/18</v>
      </c>
      <c r="F18" s="10" t="str">
        <f>"2/2"</f>
        <v>2/2</v>
      </c>
      <c r="G18" s="9">
        <f>SUM(G7:G17)</f>
        <v>5</v>
      </c>
      <c r="H18" s="9">
        <f t="shared" ref="H18:K18" si="5">SUM(H7:H17)</f>
        <v>4</v>
      </c>
      <c r="I18" s="9">
        <f t="shared" si="5"/>
        <v>2</v>
      </c>
      <c r="J18" s="9">
        <f t="shared" si="5"/>
        <v>2</v>
      </c>
      <c r="K18" s="9">
        <f t="shared" si="5"/>
        <v>2</v>
      </c>
      <c r="L18" s="11">
        <f>SUM(L7:L17)</f>
        <v>24</v>
      </c>
      <c r="M18" s="10" t="str">
        <f>"2/2"</f>
        <v>2/2</v>
      </c>
      <c r="N18" s="10" t="str">
        <f>"8/11"</f>
        <v>8/11</v>
      </c>
      <c r="O18" s="47" t="str">
        <f>"2/4"</f>
        <v>2/4</v>
      </c>
      <c r="P18" s="9">
        <f>SUM(P7:P17)</f>
        <v>1</v>
      </c>
      <c r="Q18" s="9">
        <f t="shared" ref="Q18:T18" si="6">SUM(Q7:Q17)</f>
        <v>12</v>
      </c>
      <c r="R18" s="9">
        <f t="shared" si="6"/>
        <v>2</v>
      </c>
      <c r="S18" s="9">
        <f t="shared" si="6"/>
        <v>3</v>
      </c>
      <c r="T18" s="9">
        <f t="shared" si="6"/>
        <v>2</v>
      </c>
      <c r="U18" s="11">
        <f>SUM(U7:U17)</f>
        <v>19</v>
      </c>
      <c r="V18" s="10" t="str">
        <f>"4/9"</f>
        <v>4/9</v>
      </c>
      <c r="W18" s="10" t="str">
        <f>"6/15"</f>
        <v>6/15</v>
      </c>
      <c r="X18" s="10" t="str">
        <f>"1/3"</f>
        <v>1/3</v>
      </c>
      <c r="Y18" s="9">
        <f>SUM(Y7:Y17)</f>
        <v>2</v>
      </c>
      <c r="Z18" s="9">
        <f t="shared" ref="Z18:AC18" si="7">SUM(Z7:Z17)</f>
        <v>10</v>
      </c>
      <c r="AA18" s="9">
        <f t="shared" si="7"/>
        <v>2</v>
      </c>
      <c r="AB18" s="9">
        <f t="shared" si="7"/>
        <v>5</v>
      </c>
      <c r="AC18" s="9">
        <f t="shared" si="7"/>
        <v>2</v>
      </c>
      <c r="AD18" s="11">
        <f>SUM(AD7:AD17)</f>
        <v>14</v>
      </c>
      <c r="AE18" s="10"/>
      <c r="AF18" s="10" t="str">
        <f>"7/14"</f>
        <v>7/14</v>
      </c>
      <c r="AG18" s="10" t="str">
        <f>"0/1"</f>
        <v>0/1</v>
      </c>
      <c r="AH18" s="9">
        <f>SUM(AH7:AH17)</f>
        <v>1</v>
      </c>
      <c r="AI18" s="9">
        <f t="shared" ref="AI18:AL18" si="8">SUM(AI7:AI17)</f>
        <v>9</v>
      </c>
      <c r="AJ18" s="9">
        <f t="shared" si="8"/>
        <v>3</v>
      </c>
      <c r="AK18" s="9">
        <f t="shared" si="8"/>
        <v>10</v>
      </c>
      <c r="AL18" s="9">
        <f t="shared" si="8"/>
        <v>0</v>
      </c>
      <c r="AM18" s="12">
        <f>SUM(AM7:AM17)</f>
        <v>81</v>
      </c>
      <c r="AN18" s="13" t="str">
        <f>"6/12"</f>
        <v>6/12</v>
      </c>
      <c r="AO18" s="13" t="str">
        <f>"30/58"</f>
        <v>30/58</v>
      </c>
      <c r="AP18" s="13" t="str">
        <f>"5/10"</f>
        <v>5/10</v>
      </c>
      <c r="AQ18" s="11">
        <f t="shared" ref="AQ18:AV18" si="9">SUM(AQ7:AQ17)</f>
        <v>9</v>
      </c>
      <c r="AR18" s="11">
        <f t="shared" si="9"/>
        <v>35</v>
      </c>
      <c r="AS18" s="11">
        <f t="shared" si="9"/>
        <v>9</v>
      </c>
      <c r="AT18" s="11">
        <f t="shared" si="9"/>
        <v>44</v>
      </c>
      <c r="AU18" s="11">
        <f t="shared" si="9"/>
        <v>20</v>
      </c>
      <c r="AV18" s="11">
        <f t="shared" si="9"/>
        <v>6</v>
      </c>
    </row>
    <row r="19" spans="2:48" s="40" customFormat="1" thickBot="1" x14ac:dyDescent="0.25">
      <c r="B19" s="40" t="s">
        <v>54</v>
      </c>
      <c r="F19" s="67" t="str">
        <f>"24/19"</f>
        <v>24/19</v>
      </c>
      <c r="G19" s="68"/>
      <c r="H19" s="68"/>
      <c r="I19" s="68"/>
      <c r="J19" s="68"/>
      <c r="K19" s="69"/>
      <c r="O19" s="67" t="str">
        <f>"24/4"</f>
        <v>24/4</v>
      </c>
      <c r="P19" s="68"/>
      <c r="Q19" s="68"/>
      <c r="R19" s="68"/>
      <c r="S19" s="68"/>
      <c r="T19" s="69"/>
      <c r="X19" s="67" t="str">
        <f>"19/11"</f>
        <v>19/11</v>
      </c>
      <c r="Y19" s="68"/>
      <c r="Z19" s="68"/>
      <c r="AA19" s="68"/>
      <c r="AB19" s="68"/>
      <c r="AC19" s="69"/>
      <c r="AG19" s="67" t="str">
        <f>"14/14"</f>
        <v>14/14</v>
      </c>
      <c r="AH19" s="68"/>
      <c r="AI19" s="68"/>
      <c r="AJ19" s="68"/>
      <c r="AK19" s="68"/>
      <c r="AL19" s="69"/>
      <c r="AN19" s="14">
        <f>6/12</f>
        <v>0.5</v>
      </c>
      <c r="AO19" s="14">
        <f>30/58</f>
        <v>0.51724137931034486</v>
      </c>
      <c r="AP19" s="14">
        <f>5/10</f>
        <v>0.5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"48/23"</f>
        <v>48/23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"67/34"</f>
        <v>67/34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109</v>
      </c>
      <c r="AM21" s="48">
        <v>72</v>
      </c>
      <c r="AN21" s="42" t="s">
        <v>107</v>
      </c>
      <c r="AO21" s="42" t="s">
        <v>108</v>
      </c>
      <c r="AP21" s="42" t="s">
        <v>43</v>
      </c>
      <c r="AQ21" s="43">
        <v>11</v>
      </c>
      <c r="AR21" s="43">
        <v>34</v>
      </c>
      <c r="AS21" s="43">
        <v>18</v>
      </c>
      <c r="AT21" s="43">
        <v>52</v>
      </c>
      <c r="AU21" s="43">
        <v>12</v>
      </c>
      <c r="AV21" s="43">
        <v>5</v>
      </c>
    </row>
    <row r="22" spans="2:48" x14ac:dyDescent="0.25">
      <c r="C22" s="1" t="s">
        <v>20</v>
      </c>
      <c r="D22" s="1" t="s">
        <v>27</v>
      </c>
      <c r="AN22" s="14">
        <v>0.34482758620689657</v>
      </c>
      <c r="AO22" s="14">
        <v>0.484375</v>
      </c>
      <c r="AP22" s="14">
        <v>0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102</v>
      </c>
      <c r="AM24" s="48">
        <v>63</v>
      </c>
      <c r="AN24" s="42" t="s">
        <v>103</v>
      </c>
      <c r="AO24" s="42" t="s">
        <v>104</v>
      </c>
      <c r="AP24" s="42" t="s">
        <v>84</v>
      </c>
      <c r="AQ24" s="43">
        <v>5</v>
      </c>
      <c r="AR24" s="43">
        <v>29</v>
      </c>
      <c r="AS24" s="43">
        <v>23</v>
      </c>
      <c r="AT24" s="43">
        <v>52</v>
      </c>
      <c r="AU24" s="43">
        <v>16</v>
      </c>
      <c r="AV24" s="43">
        <v>12</v>
      </c>
    </row>
    <row r="25" spans="2:48" x14ac:dyDescent="0.25">
      <c r="C25" s="40" t="s">
        <v>23</v>
      </c>
      <c r="D25" s="40" t="s">
        <v>31</v>
      </c>
      <c r="E25" s="40"/>
      <c r="AN25" s="14">
        <v>0.35294117647058826</v>
      </c>
      <c r="AO25" s="14">
        <v>0.38095238095238093</v>
      </c>
      <c r="AP25" s="14">
        <v>0.5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96</v>
      </c>
      <c r="AM27" s="48">
        <v>63</v>
      </c>
      <c r="AN27" s="42" t="s">
        <v>93</v>
      </c>
      <c r="AO27" s="42" t="s">
        <v>94</v>
      </c>
      <c r="AP27" s="42" t="s">
        <v>95</v>
      </c>
      <c r="AQ27" s="43">
        <v>8</v>
      </c>
      <c r="AR27" s="43">
        <v>31</v>
      </c>
      <c r="AS27" s="43">
        <v>16</v>
      </c>
      <c r="AT27" s="43">
        <v>47</v>
      </c>
      <c r="AU27" s="43">
        <v>25</v>
      </c>
      <c r="AV27" s="43">
        <v>11</v>
      </c>
    </row>
    <row r="28" spans="2:48" x14ac:dyDescent="0.25">
      <c r="AN28" s="14">
        <v>0.42105263157894735</v>
      </c>
      <c r="AO28" s="14">
        <v>0.47272727272727272</v>
      </c>
      <c r="AP28" s="14">
        <v>0.1111111111111111</v>
      </c>
    </row>
    <row r="30" spans="2:48" x14ac:dyDescent="0.25">
      <c r="AG30" s="1" t="s">
        <v>87</v>
      </c>
      <c r="AM30" s="48">
        <v>51</v>
      </c>
      <c r="AN30" s="42" t="s">
        <v>88</v>
      </c>
      <c r="AO30" s="42" t="s">
        <v>89</v>
      </c>
      <c r="AP30" s="42" t="s">
        <v>90</v>
      </c>
      <c r="AQ30" s="43">
        <v>5</v>
      </c>
      <c r="AR30" s="43">
        <v>16</v>
      </c>
      <c r="AS30" s="43">
        <v>11</v>
      </c>
      <c r="AT30" s="43">
        <v>27</v>
      </c>
      <c r="AU30" s="43">
        <v>31</v>
      </c>
      <c r="AV30" s="43">
        <v>10</v>
      </c>
    </row>
    <row r="31" spans="2:48" x14ac:dyDescent="0.25">
      <c r="AN31" s="14">
        <v>0.6</v>
      </c>
      <c r="AO31" s="14">
        <v>0.39622641509433965</v>
      </c>
      <c r="AP31" s="14">
        <v>0.25</v>
      </c>
    </row>
    <row r="33" spans="33:48" x14ac:dyDescent="0.25">
      <c r="AG33" s="1" t="s">
        <v>81</v>
      </c>
      <c r="AM33" s="48">
        <v>57</v>
      </c>
      <c r="AN33" s="42" t="s">
        <v>82</v>
      </c>
      <c r="AO33" s="42" t="s">
        <v>83</v>
      </c>
      <c r="AP33" s="42" t="s">
        <v>84</v>
      </c>
      <c r="AQ33" s="43">
        <v>7</v>
      </c>
      <c r="AR33" s="43">
        <v>29</v>
      </c>
      <c r="AS33" s="43">
        <v>13</v>
      </c>
      <c r="AT33" s="43">
        <v>42</v>
      </c>
      <c r="AU33" s="43">
        <v>23</v>
      </c>
      <c r="AV33" s="43">
        <v>9</v>
      </c>
    </row>
    <row r="34" spans="33:48" x14ac:dyDescent="0.25">
      <c r="AN34" s="14">
        <v>0.30769230769230771</v>
      </c>
      <c r="AO34" s="14">
        <v>0.37931034482758619</v>
      </c>
      <c r="AP34" s="14">
        <v>0.5</v>
      </c>
    </row>
    <row r="36" spans="33:48" x14ac:dyDescent="0.25">
      <c r="AG36" s="1" t="s">
        <v>77</v>
      </c>
      <c r="AM36" s="48">
        <v>47</v>
      </c>
      <c r="AN36" s="42" t="s">
        <v>78</v>
      </c>
      <c r="AO36" s="42" t="s">
        <v>79</v>
      </c>
      <c r="AP36" s="42" t="s">
        <v>80</v>
      </c>
      <c r="AQ36" s="43">
        <v>1</v>
      </c>
      <c r="AR36" s="43">
        <v>31</v>
      </c>
      <c r="AS36" s="43">
        <v>5</v>
      </c>
      <c r="AT36" s="43">
        <v>36</v>
      </c>
      <c r="AU36" s="43">
        <v>34</v>
      </c>
      <c r="AV36" s="43">
        <v>10</v>
      </c>
    </row>
    <row r="37" spans="33:48" x14ac:dyDescent="0.25">
      <c r="AN37" s="14">
        <v>0.21428571428571427</v>
      </c>
      <c r="AO37" s="14">
        <v>0.32653061224489793</v>
      </c>
      <c r="AP37" s="14">
        <v>0.44444444444444442</v>
      </c>
    </row>
    <row r="39" spans="33:48" x14ac:dyDescent="0.25">
      <c r="AG39" s="1" t="s">
        <v>70</v>
      </c>
      <c r="AM39" s="48">
        <v>44</v>
      </c>
      <c r="AN39" s="42" t="s">
        <v>71</v>
      </c>
      <c r="AO39" s="42" t="s">
        <v>72</v>
      </c>
      <c r="AP39" s="42" t="s">
        <v>73</v>
      </c>
      <c r="AQ39" s="43">
        <v>3</v>
      </c>
      <c r="AR39" s="43">
        <v>31</v>
      </c>
      <c r="AS39" s="43">
        <v>12</v>
      </c>
      <c r="AT39" s="43">
        <v>43</v>
      </c>
      <c r="AU39" s="43">
        <v>26</v>
      </c>
      <c r="AV39" s="43">
        <v>11</v>
      </c>
    </row>
    <row r="40" spans="33:48" x14ac:dyDescent="0.25">
      <c r="AN40" s="14">
        <v>0.23809523809523808</v>
      </c>
      <c r="AO40" s="14">
        <v>0.26315789473684209</v>
      </c>
      <c r="AP40" s="14">
        <v>0.33333333333333331</v>
      </c>
    </row>
    <row r="42" spans="33:48" x14ac:dyDescent="0.25">
      <c r="AG42" s="1" t="s">
        <v>64</v>
      </c>
      <c r="AM42" s="48">
        <v>38</v>
      </c>
      <c r="AN42" s="42" t="s">
        <v>65</v>
      </c>
      <c r="AO42" s="42" t="s">
        <v>66</v>
      </c>
      <c r="AP42" s="42" t="s">
        <v>52</v>
      </c>
      <c r="AQ42" s="43">
        <v>2</v>
      </c>
      <c r="AR42" s="43">
        <v>20</v>
      </c>
      <c r="AS42" s="43">
        <v>10</v>
      </c>
      <c r="AT42" s="43">
        <v>30</v>
      </c>
      <c r="AU42" s="43">
        <v>24</v>
      </c>
      <c r="AV42" s="43">
        <v>3</v>
      </c>
    </row>
    <row r="43" spans="33:48" x14ac:dyDescent="0.25">
      <c r="AN43" s="14">
        <v>0.23076923076923078</v>
      </c>
      <c r="AO43" s="14">
        <v>0.2857142857142857</v>
      </c>
      <c r="AP43" s="14">
        <v>1</v>
      </c>
    </row>
    <row r="45" spans="33:48" x14ac:dyDescent="0.25">
      <c r="AG45" s="1" t="s">
        <v>58</v>
      </c>
      <c r="AM45" s="48">
        <v>56</v>
      </c>
      <c r="AN45" s="42" t="s">
        <v>59</v>
      </c>
      <c r="AO45" s="42" t="s">
        <v>60</v>
      </c>
      <c r="AP45" s="42" t="s">
        <v>61</v>
      </c>
      <c r="AQ45" s="43">
        <v>5</v>
      </c>
      <c r="AR45" s="43">
        <v>31</v>
      </c>
      <c r="AS45" s="43">
        <v>8</v>
      </c>
      <c r="AT45" s="43">
        <v>39</v>
      </c>
      <c r="AU45" s="43">
        <v>22</v>
      </c>
      <c r="AV45" s="43">
        <v>6</v>
      </c>
    </row>
    <row r="46" spans="33:48" x14ac:dyDescent="0.25">
      <c r="AN46" s="14">
        <v>0.52631578947368418</v>
      </c>
      <c r="AO46" s="14">
        <v>0.40740740740740738</v>
      </c>
      <c r="AP46" s="14">
        <v>0.5</v>
      </c>
    </row>
    <row r="48" spans="33:48" x14ac:dyDescent="0.25">
      <c r="AG48" s="1" t="s">
        <v>53</v>
      </c>
      <c r="AM48" s="48">
        <v>47</v>
      </c>
      <c r="AN48" s="42" t="s">
        <v>49</v>
      </c>
      <c r="AO48" s="42" t="s">
        <v>50</v>
      </c>
      <c r="AP48" s="42" t="s">
        <v>51</v>
      </c>
      <c r="AQ48" s="43">
        <v>5</v>
      </c>
      <c r="AR48" s="43">
        <v>24</v>
      </c>
      <c r="AS48" s="43">
        <v>6</v>
      </c>
      <c r="AT48" s="43">
        <v>30</v>
      </c>
      <c r="AU48" s="43">
        <v>29</v>
      </c>
      <c r="AV48" s="43">
        <v>9</v>
      </c>
    </row>
    <row r="49" spans="33:48" x14ac:dyDescent="0.25">
      <c r="AN49" s="14">
        <v>0.53846153846153844</v>
      </c>
      <c r="AO49" s="14">
        <v>0.33333333333333331</v>
      </c>
      <c r="AP49" s="14">
        <v>0.33333333333333331</v>
      </c>
    </row>
    <row r="51" spans="33:48" x14ac:dyDescent="0.25">
      <c r="AG51" s="1" t="s">
        <v>46</v>
      </c>
      <c r="AM51" s="48">
        <v>33</v>
      </c>
      <c r="AN51" s="42" t="s">
        <v>98</v>
      </c>
      <c r="AO51" s="42" t="s">
        <v>99</v>
      </c>
      <c r="AP51" s="42" t="s">
        <v>52</v>
      </c>
      <c r="AQ51" s="43">
        <v>3</v>
      </c>
      <c r="AR51" s="43">
        <v>16</v>
      </c>
      <c r="AS51" s="43">
        <v>7</v>
      </c>
      <c r="AT51" s="43">
        <v>23</v>
      </c>
      <c r="AU51" s="43">
        <v>37</v>
      </c>
      <c r="AV51" s="43">
        <v>18</v>
      </c>
    </row>
    <row r="52" spans="33:48" x14ac:dyDescent="0.25">
      <c r="AN52" s="14">
        <v>0.5</v>
      </c>
      <c r="AO52" s="14">
        <v>0.28947368421052633</v>
      </c>
      <c r="AP52" s="14">
        <v>1</v>
      </c>
    </row>
  </sheetData>
  <mergeCells count="15">
    <mergeCell ref="L20:N20"/>
    <mergeCell ref="O20:T20"/>
    <mergeCell ref="U20:W20"/>
    <mergeCell ref="X20:AC20"/>
    <mergeCell ref="K2:N2"/>
    <mergeCell ref="W2:X2"/>
    <mergeCell ref="C5:K5"/>
    <mergeCell ref="L5:T5"/>
    <mergeCell ref="U5:AC5"/>
    <mergeCell ref="AM5:AV5"/>
    <mergeCell ref="F19:K19"/>
    <mergeCell ref="O19:T19"/>
    <mergeCell ref="X19:AC19"/>
    <mergeCell ref="AG19:AL19"/>
    <mergeCell ref="AD5:AL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V55"/>
  <sheetViews>
    <sheetView workbookViewId="0">
      <selection sqref="A1:XFD1048576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5.1406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4.7109375" style="1" customWidth="1"/>
    <col min="39" max="39" width="3.7109375" style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111</v>
      </c>
      <c r="I2" s="40" t="s">
        <v>38</v>
      </c>
      <c r="K2" s="52">
        <v>43176</v>
      </c>
      <c r="L2" s="52"/>
      <c r="M2" s="52"/>
      <c r="N2" s="52"/>
      <c r="Q2" s="45" t="s">
        <v>47</v>
      </c>
      <c r="W2" s="65" t="s">
        <v>112</v>
      </c>
      <c r="X2" s="66"/>
    </row>
    <row r="3" spans="2:48" x14ac:dyDescent="0.25">
      <c r="B3" s="40" t="s">
        <v>36</v>
      </c>
      <c r="C3" s="1" t="s">
        <v>76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/>
      <c r="D7" s="7"/>
      <c r="E7" s="7" t="str">
        <f>"0/2"</f>
        <v>0/2</v>
      </c>
      <c r="F7" s="7"/>
      <c r="G7" s="6"/>
      <c r="H7" s="6">
        <v>3</v>
      </c>
      <c r="I7" s="6">
        <v>1</v>
      </c>
      <c r="J7" s="6">
        <v>1</v>
      </c>
      <c r="K7" s="6"/>
      <c r="L7" s="5"/>
      <c r="M7" s="7"/>
      <c r="N7" s="7"/>
      <c r="O7" s="7"/>
      <c r="P7" s="6"/>
      <c r="Q7" s="6">
        <v>1</v>
      </c>
      <c r="R7" s="6"/>
      <c r="S7" s="6"/>
      <c r="T7" s="6"/>
      <c r="U7" s="5">
        <v>1</v>
      </c>
      <c r="V7" s="7" t="str">
        <f>"1/2"</f>
        <v>1/2</v>
      </c>
      <c r="W7" s="7" t="str">
        <f>"0/2"</f>
        <v>0/2</v>
      </c>
      <c r="X7" s="7"/>
      <c r="Y7" s="6"/>
      <c r="Z7" s="6">
        <v>2</v>
      </c>
      <c r="AA7" s="6">
        <v>1</v>
      </c>
      <c r="AB7" s="6"/>
      <c r="AC7" s="6"/>
      <c r="AD7" s="5">
        <v>2</v>
      </c>
      <c r="AE7" s="7" t="str">
        <f>"0/2"</f>
        <v>0/2</v>
      </c>
      <c r="AF7" s="7" t="str">
        <f>"1/3"</f>
        <v>1/3</v>
      </c>
      <c r="AG7" s="7"/>
      <c r="AH7" s="6"/>
      <c r="AI7" s="6">
        <v>2</v>
      </c>
      <c r="AJ7" s="6">
        <v>3</v>
      </c>
      <c r="AK7" s="6"/>
      <c r="AL7" s="6"/>
      <c r="AM7" s="25">
        <f>C7+L7+U7+AD7</f>
        <v>3</v>
      </c>
      <c r="AN7" s="26" t="str">
        <f>"1/4"</f>
        <v>1/4</v>
      </c>
      <c r="AO7" s="26" t="str">
        <f>"1/7"</f>
        <v>1/7</v>
      </c>
      <c r="AP7" s="26"/>
      <c r="AQ7" s="32">
        <f t="shared" ref="AQ7:AS17" si="0">G7+P7+Y7+AH7</f>
        <v>0</v>
      </c>
      <c r="AR7" s="28">
        <f>H7+Q7+Z7+AI7</f>
        <v>8</v>
      </c>
      <c r="AS7" s="27">
        <f>I7+R7+AA7+AJ7</f>
        <v>5</v>
      </c>
      <c r="AT7" s="29">
        <f>AR7+AS7</f>
        <v>13</v>
      </c>
      <c r="AU7" s="27">
        <f>J7+S7+AB7+AK7</f>
        <v>1</v>
      </c>
      <c r="AV7" s="37">
        <f>K7+T7+AC7+AL7</f>
        <v>0</v>
      </c>
    </row>
    <row r="8" spans="2:48" x14ac:dyDescent="0.25">
      <c r="B8" s="5" t="s">
        <v>12</v>
      </c>
      <c r="C8" s="5">
        <v>2</v>
      </c>
      <c r="D8" s="7"/>
      <c r="E8" s="7" t="str">
        <f>"1/1"</f>
        <v>1/1</v>
      </c>
      <c r="F8" s="7"/>
      <c r="G8" s="6"/>
      <c r="H8" s="6">
        <v>3</v>
      </c>
      <c r="I8" s="6">
        <v>1</v>
      </c>
      <c r="J8" s="6"/>
      <c r="K8" s="6"/>
      <c r="L8" s="5"/>
      <c r="M8" s="7"/>
      <c r="N8" s="7" t="str">
        <f>"0/2"</f>
        <v>0/2</v>
      </c>
      <c r="O8" s="7"/>
      <c r="P8" s="6"/>
      <c r="Q8" s="6">
        <v>1</v>
      </c>
      <c r="R8" s="6">
        <v>1</v>
      </c>
      <c r="S8" s="6"/>
      <c r="T8" s="6"/>
      <c r="U8" s="5">
        <v>2</v>
      </c>
      <c r="V8" s="7"/>
      <c r="W8" s="7" t="str">
        <f>"1/2"</f>
        <v>1/2</v>
      </c>
      <c r="X8" s="7"/>
      <c r="Y8" s="6"/>
      <c r="Z8" s="6">
        <v>3</v>
      </c>
      <c r="AA8" s="6"/>
      <c r="AB8" s="6">
        <v>2</v>
      </c>
      <c r="AC8" s="6"/>
      <c r="AD8" s="5"/>
      <c r="AE8" s="7"/>
      <c r="AF8" s="7" t="str">
        <f>"0/2"</f>
        <v>0/2</v>
      </c>
      <c r="AG8" s="7"/>
      <c r="AH8" s="6"/>
      <c r="AI8" s="6">
        <v>4</v>
      </c>
      <c r="AJ8" s="6"/>
      <c r="AK8" s="6">
        <v>2</v>
      </c>
      <c r="AL8" s="6"/>
      <c r="AM8" s="15">
        <f>C8+L8+U8+AD8</f>
        <v>4</v>
      </c>
      <c r="AN8" s="19"/>
      <c r="AO8" s="19" t="str">
        <f>"2/7"</f>
        <v>2/7</v>
      </c>
      <c r="AP8" s="19"/>
      <c r="AQ8" s="33">
        <f t="shared" si="0"/>
        <v>0</v>
      </c>
      <c r="AR8" s="21">
        <f>H8+Q8+Z8+AI8</f>
        <v>11</v>
      </c>
      <c r="AS8" s="6">
        <f>I8+R8+AA8+AJ8</f>
        <v>2</v>
      </c>
      <c r="AT8" s="22">
        <f t="shared" ref="AT8:AT17" si="1">AR8+AS8</f>
        <v>13</v>
      </c>
      <c r="AU8" s="6">
        <f>J8+S8+AB8+AK8</f>
        <v>4</v>
      </c>
      <c r="AV8" s="38">
        <f>K8+T8+AC8+AL8</f>
        <v>0</v>
      </c>
    </row>
    <row r="9" spans="2:48" x14ac:dyDescent="0.25">
      <c r="B9" s="5" t="s">
        <v>41</v>
      </c>
      <c r="C9" s="5">
        <v>2</v>
      </c>
      <c r="D9" s="7" t="str">
        <f>"0/4"</f>
        <v>0/4</v>
      </c>
      <c r="E9" s="7" t="str">
        <f>"1/3"</f>
        <v>1/3</v>
      </c>
      <c r="F9" s="7"/>
      <c r="G9" s="6"/>
      <c r="H9" s="6"/>
      <c r="I9" s="6"/>
      <c r="J9" s="6"/>
      <c r="K9" s="6"/>
      <c r="L9" s="5">
        <v>3</v>
      </c>
      <c r="M9" s="7" t="str">
        <f>"1/3"</f>
        <v>1/3</v>
      </c>
      <c r="N9" s="7" t="str">
        <f>"1/3"</f>
        <v>1/3</v>
      </c>
      <c r="O9" s="7"/>
      <c r="P9" s="6"/>
      <c r="Q9" s="6"/>
      <c r="R9" s="6"/>
      <c r="S9" s="6">
        <v>1</v>
      </c>
      <c r="T9" s="6"/>
      <c r="U9" s="5">
        <v>2</v>
      </c>
      <c r="V9" s="7"/>
      <c r="W9" s="7" t="str">
        <f>"1/4"</f>
        <v>1/4</v>
      </c>
      <c r="X9" s="7"/>
      <c r="Y9" s="6"/>
      <c r="Z9" s="6">
        <v>1</v>
      </c>
      <c r="AA9" s="6">
        <v>1</v>
      </c>
      <c r="AB9" s="6"/>
      <c r="AC9" s="6"/>
      <c r="AD9" s="5">
        <v>1</v>
      </c>
      <c r="AE9" s="7" t="str">
        <f>"1/2"</f>
        <v>1/2</v>
      </c>
      <c r="AF9" s="7" t="str">
        <f>"0/3"</f>
        <v>0/3</v>
      </c>
      <c r="AG9" s="7"/>
      <c r="AH9" s="6"/>
      <c r="AI9" s="6"/>
      <c r="AJ9" s="6"/>
      <c r="AK9" s="6">
        <v>3</v>
      </c>
      <c r="AL9" s="6"/>
      <c r="AM9" s="15">
        <f>C9+L9+U9+AD9</f>
        <v>8</v>
      </c>
      <c r="AN9" s="19" t="str">
        <f>"2/9"</f>
        <v>2/9</v>
      </c>
      <c r="AO9" s="19" t="str">
        <f>"3/13"</f>
        <v>3/13</v>
      </c>
      <c r="AP9" s="19"/>
      <c r="AQ9" s="33">
        <f>G9+P9+Y9+AH9</f>
        <v>0</v>
      </c>
      <c r="AR9" s="21">
        <f t="shared" si="0"/>
        <v>1</v>
      </c>
      <c r="AS9" s="6">
        <f t="shared" si="0"/>
        <v>1</v>
      </c>
      <c r="AT9" s="22">
        <f t="shared" si="1"/>
        <v>2</v>
      </c>
      <c r="AU9" s="6">
        <f t="shared" ref="AU9:AV17" si="2">J9+S9+AB9+AK9</f>
        <v>4</v>
      </c>
      <c r="AV9" s="38">
        <f t="shared" si="2"/>
        <v>0</v>
      </c>
    </row>
    <row r="10" spans="2:48" x14ac:dyDescent="0.25">
      <c r="B10" s="5" t="s">
        <v>10</v>
      </c>
      <c r="C10" s="5">
        <v>2</v>
      </c>
      <c r="D10" s="7"/>
      <c r="E10" s="7" t="str">
        <f>"1/4"</f>
        <v>1/4</v>
      </c>
      <c r="F10" s="7"/>
      <c r="G10" s="6"/>
      <c r="H10" s="6"/>
      <c r="I10" s="6"/>
      <c r="J10" s="6"/>
      <c r="K10" s="6"/>
      <c r="L10" s="5">
        <v>2</v>
      </c>
      <c r="M10" s="7" t="str">
        <f>"0/1"</f>
        <v>0/1</v>
      </c>
      <c r="N10" s="7" t="str">
        <f>"1/2"</f>
        <v>1/2</v>
      </c>
      <c r="O10" s="7"/>
      <c r="P10" s="6"/>
      <c r="Q10" s="6"/>
      <c r="R10" s="6"/>
      <c r="S10" s="6">
        <v>1</v>
      </c>
      <c r="T10" s="6"/>
      <c r="U10" s="5">
        <v>2</v>
      </c>
      <c r="V10" s="7"/>
      <c r="W10" s="7" t="str">
        <f>"1/1"</f>
        <v>1/1</v>
      </c>
      <c r="X10" s="7"/>
      <c r="Y10" s="6"/>
      <c r="Z10" s="6"/>
      <c r="AA10" s="6"/>
      <c r="AB10" s="6"/>
      <c r="AC10" s="6"/>
      <c r="AD10" s="5">
        <v>3</v>
      </c>
      <c r="AE10" s="7" t="str">
        <f>"1/2"</f>
        <v>1/2</v>
      </c>
      <c r="AF10" s="7" t="str">
        <f>"1/5"</f>
        <v>1/5</v>
      </c>
      <c r="AG10" s="7"/>
      <c r="AH10" s="6"/>
      <c r="AI10" s="6"/>
      <c r="AJ10" s="6"/>
      <c r="AK10" s="6"/>
      <c r="AL10" s="6"/>
      <c r="AM10" s="15">
        <f>C10+L10+U10+AD10</f>
        <v>9</v>
      </c>
      <c r="AN10" s="19" t="str">
        <f>"1/3"</f>
        <v>1/3</v>
      </c>
      <c r="AO10" s="19" t="str">
        <f>"4/12"</f>
        <v>4/12</v>
      </c>
      <c r="AP10" s="19"/>
      <c r="AQ10" s="33">
        <f t="shared" ref="AQ10:AR17" si="3">G10+P10+Y10+AH10</f>
        <v>0</v>
      </c>
      <c r="AR10" s="21">
        <f>H10+Q10+Z10+AI10</f>
        <v>0</v>
      </c>
      <c r="AS10" s="6">
        <f t="shared" si="0"/>
        <v>0</v>
      </c>
      <c r="AT10" s="22">
        <f t="shared" si="1"/>
        <v>0</v>
      </c>
      <c r="AU10" s="6">
        <f t="shared" si="2"/>
        <v>1</v>
      </c>
      <c r="AV10" s="38">
        <f t="shared" si="2"/>
        <v>0</v>
      </c>
    </row>
    <row r="11" spans="2:48" x14ac:dyDescent="0.25">
      <c r="B11" s="5" t="s">
        <v>15</v>
      </c>
      <c r="C11" s="5">
        <v>4</v>
      </c>
      <c r="D11" s="7" t="str">
        <f>"2/2"</f>
        <v>2/2</v>
      </c>
      <c r="E11" s="7" t="str">
        <f>"1/1"</f>
        <v>1/1</v>
      </c>
      <c r="F11" s="7" t="str">
        <f>"0/2"</f>
        <v>0/2</v>
      </c>
      <c r="G11" s="6">
        <v>1</v>
      </c>
      <c r="H11" s="6"/>
      <c r="I11" s="6"/>
      <c r="J11" s="6"/>
      <c r="K11" s="6">
        <v>1</v>
      </c>
      <c r="L11" s="5">
        <v>2</v>
      </c>
      <c r="M11" s="7" t="str">
        <f>"2/2"</f>
        <v>2/2</v>
      </c>
      <c r="N11" s="7"/>
      <c r="O11" s="7" t="str">
        <f>"0/1"</f>
        <v>0/1</v>
      </c>
      <c r="P11" s="6"/>
      <c r="Q11" s="6">
        <v>2</v>
      </c>
      <c r="R11" s="6"/>
      <c r="S11" s="6">
        <v>4</v>
      </c>
      <c r="T11" s="6"/>
      <c r="U11" s="5">
        <v>1</v>
      </c>
      <c r="V11" s="7" t="str">
        <f>"1/4"</f>
        <v>1/4</v>
      </c>
      <c r="W11" s="7"/>
      <c r="X11" s="7"/>
      <c r="Y11" s="6">
        <v>1</v>
      </c>
      <c r="Z11" s="6">
        <v>1</v>
      </c>
      <c r="AA11" s="6"/>
      <c r="AB11" s="6">
        <v>2</v>
      </c>
      <c r="AC11" s="6">
        <v>1</v>
      </c>
      <c r="AD11" s="5"/>
      <c r="AE11" s="7"/>
      <c r="AF11" s="7"/>
      <c r="AG11" s="7"/>
      <c r="AH11" s="6"/>
      <c r="AI11" s="6"/>
      <c r="AJ11" s="6"/>
      <c r="AK11" s="6"/>
      <c r="AL11" s="6"/>
      <c r="AM11" s="15">
        <f t="shared" ref="AM11:AM12" si="4">C11+L11+U11+AD11</f>
        <v>7</v>
      </c>
      <c r="AN11" s="19" t="str">
        <f>"5/8"</f>
        <v>5/8</v>
      </c>
      <c r="AO11" s="19" t="str">
        <f>"1/1"</f>
        <v>1/1</v>
      </c>
      <c r="AP11" s="19" t="str">
        <f>"0/3"</f>
        <v>0/3</v>
      </c>
      <c r="AQ11" s="33">
        <f t="shared" si="3"/>
        <v>2</v>
      </c>
      <c r="AR11" s="21">
        <f t="shared" si="3"/>
        <v>3</v>
      </c>
      <c r="AS11" s="6">
        <f t="shared" si="0"/>
        <v>0</v>
      </c>
      <c r="AT11" s="22">
        <f t="shared" si="1"/>
        <v>3</v>
      </c>
      <c r="AU11" s="6">
        <f t="shared" si="2"/>
        <v>6</v>
      </c>
      <c r="AV11" s="38">
        <f t="shared" si="2"/>
        <v>2</v>
      </c>
    </row>
    <row r="12" spans="2:48" x14ac:dyDescent="0.25">
      <c r="B12" s="5" t="s">
        <v>68</v>
      </c>
      <c r="C12" s="5"/>
      <c r="D12" s="7"/>
      <c r="E12" s="7"/>
      <c r="F12" s="7" t="str">
        <f>"0/2"</f>
        <v>0/2</v>
      </c>
      <c r="G12" s="6"/>
      <c r="H12" s="6"/>
      <c r="I12" s="6">
        <v>1</v>
      </c>
      <c r="J12" s="6"/>
      <c r="K12" s="6">
        <v>2</v>
      </c>
      <c r="L12" s="5">
        <v>3</v>
      </c>
      <c r="M12" s="7" t="str">
        <f>"1/1"</f>
        <v>1/1</v>
      </c>
      <c r="N12" s="7" t="str">
        <f>"1/2"</f>
        <v>1/2</v>
      </c>
      <c r="O12" s="7" t="str">
        <f>"0/1"</f>
        <v>0/1</v>
      </c>
      <c r="P12" s="6"/>
      <c r="Q12" s="6">
        <v>1</v>
      </c>
      <c r="R12" s="6"/>
      <c r="S12" s="6">
        <v>1</v>
      </c>
      <c r="T12" s="6">
        <v>1</v>
      </c>
      <c r="U12" s="5"/>
      <c r="V12" s="7" t="str">
        <f>"0/2"</f>
        <v>0/2</v>
      </c>
      <c r="W12" s="7" t="str">
        <f>"0/1"</f>
        <v>0/1</v>
      </c>
      <c r="X12" s="7"/>
      <c r="Y12" s="6">
        <v>1</v>
      </c>
      <c r="Z12" s="6">
        <v>1</v>
      </c>
      <c r="AA12" s="6"/>
      <c r="AB12" s="6">
        <v>1</v>
      </c>
      <c r="AC12" s="6"/>
      <c r="AD12" s="5">
        <v>2</v>
      </c>
      <c r="AE12" s="7"/>
      <c r="AF12" s="7" t="str">
        <f>"1/3"</f>
        <v>1/3</v>
      </c>
      <c r="AG12" s="7"/>
      <c r="AH12" s="6"/>
      <c r="AI12" s="6">
        <v>1</v>
      </c>
      <c r="AJ12" s="6">
        <v>1</v>
      </c>
      <c r="AK12" s="6">
        <v>2</v>
      </c>
      <c r="AL12" s="6">
        <v>1</v>
      </c>
      <c r="AM12" s="15">
        <f t="shared" si="4"/>
        <v>5</v>
      </c>
      <c r="AN12" s="19" t="str">
        <f>"1/3"</f>
        <v>1/3</v>
      </c>
      <c r="AO12" s="19" t="str">
        <f>"2/6"</f>
        <v>2/6</v>
      </c>
      <c r="AP12" s="19" t="str">
        <f>"0/3"</f>
        <v>0/3</v>
      </c>
      <c r="AQ12" s="33">
        <f t="shared" si="3"/>
        <v>1</v>
      </c>
      <c r="AR12" s="21">
        <f t="shared" si="3"/>
        <v>3</v>
      </c>
      <c r="AS12" s="6">
        <f t="shared" si="0"/>
        <v>2</v>
      </c>
      <c r="AT12" s="22">
        <f t="shared" si="1"/>
        <v>5</v>
      </c>
      <c r="AU12" s="6">
        <f t="shared" si="2"/>
        <v>4</v>
      </c>
      <c r="AV12" s="38">
        <f t="shared" si="2"/>
        <v>4</v>
      </c>
    </row>
    <row r="13" spans="2:48" x14ac:dyDescent="0.25">
      <c r="B13" s="5" t="s">
        <v>13</v>
      </c>
      <c r="C13" s="5"/>
      <c r="D13" s="7"/>
      <c r="E13" s="7"/>
      <c r="F13" s="7"/>
      <c r="G13" s="6"/>
      <c r="H13" s="6"/>
      <c r="I13" s="6"/>
      <c r="J13" s="6">
        <v>2</v>
      </c>
      <c r="K13" s="6"/>
      <c r="L13" s="5"/>
      <c r="M13" s="7"/>
      <c r="N13" s="7"/>
      <c r="O13" s="7"/>
      <c r="P13" s="6"/>
      <c r="Q13" s="6"/>
      <c r="R13" s="6">
        <v>1</v>
      </c>
      <c r="S13" s="6"/>
      <c r="T13" s="6"/>
      <c r="U13" s="5"/>
      <c r="V13" s="7"/>
      <c r="W13" s="7"/>
      <c r="X13" s="7"/>
      <c r="Y13" s="6"/>
      <c r="Z13" s="6"/>
      <c r="AA13" s="6"/>
      <c r="AB13" s="6">
        <v>1</v>
      </c>
      <c r="AC13" s="6"/>
      <c r="AD13" s="5"/>
      <c r="AE13" s="7"/>
      <c r="AF13" s="7"/>
      <c r="AG13" s="7"/>
      <c r="AH13" s="6"/>
      <c r="AI13" s="6"/>
      <c r="AJ13" s="6"/>
      <c r="AK13" s="6"/>
      <c r="AL13" s="6"/>
      <c r="AM13" s="15">
        <f>C13+L13+U13+AD13</f>
        <v>0</v>
      </c>
      <c r="AN13" s="19"/>
      <c r="AO13" s="19"/>
      <c r="AP13" s="19"/>
      <c r="AQ13" s="33">
        <f t="shared" si="3"/>
        <v>0</v>
      </c>
      <c r="AR13" s="21">
        <f t="shared" si="3"/>
        <v>0</v>
      </c>
      <c r="AS13" s="6">
        <f t="shared" si="0"/>
        <v>1</v>
      </c>
      <c r="AT13" s="22">
        <f t="shared" si="1"/>
        <v>1</v>
      </c>
      <c r="AU13" s="6">
        <f t="shared" si="2"/>
        <v>3</v>
      </c>
      <c r="AV13" s="38">
        <f t="shared" si="2"/>
        <v>0</v>
      </c>
    </row>
    <row r="14" spans="2:48" x14ac:dyDescent="0.25">
      <c r="B14" s="5" t="s">
        <v>57</v>
      </c>
      <c r="C14" s="5"/>
      <c r="D14" s="7"/>
      <c r="E14" s="7"/>
      <c r="F14" s="7"/>
      <c r="G14" s="6"/>
      <c r="H14" s="6"/>
      <c r="I14" s="6"/>
      <c r="J14" s="6"/>
      <c r="K14" s="6"/>
      <c r="L14" s="5"/>
      <c r="M14" s="7"/>
      <c r="N14" s="7"/>
      <c r="O14" s="7"/>
      <c r="P14" s="6"/>
      <c r="Q14" s="6"/>
      <c r="R14" s="6"/>
      <c r="S14" s="6"/>
      <c r="T14" s="6"/>
      <c r="U14" s="5"/>
      <c r="V14" s="7"/>
      <c r="W14" s="7"/>
      <c r="X14" s="7"/>
      <c r="Y14" s="6"/>
      <c r="Z14" s="6"/>
      <c r="AA14" s="6"/>
      <c r="AB14" s="6"/>
      <c r="AC14" s="6"/>
      <c r="AD14" s="5"/>
      <c r="AE14" s="7"/>
      <c r="AF14" s="7"/>
      <c r="AG14" s="7"/>
      <c r="AH14" s="6"/>
      <c r="AI14" s="6"/>
      <c r="AJ14" s="6"/>
      <c r="AK14" s="6"/>
      <c r="AL14" s="6"/>
      <c r="AM14" s="15">
        <f>C14+L14+U14+AD14</f>
        <v>0</v>
      </c>
      <c r="AN14" s="19"/>
      <c r="AO14" s="19"/>
      <c r="AP14" s="19"/>
      <c r="AQ14" s="33">
        <f t="shared" si="3"/>
        <v>0</v>
      </c>
      <c r="AR14" s="21">
        <f t="shared" si="3"/>
        <v>0</v>
      </c>
      <c r="AS14" s="6">
        <f t="shared" si="0"/>
        <v>0</v>
      </c>
      <c r="AT14" s="22">
        <f t="shared" si="1"/>
        <v>0</v>
      </c>
      <c r="AU14" s="6">
        <f t="shared" si="2"/>
        <v>0</v>
      </c>
      <c r="AV14" s="38">
        <f t="shared" si="2"/>
        <v>0</v>
      </c>
    </row>
    <row r="15" spans="2:48" x14ac:dyDescent="0.25">
      <c r="B15" s="5" t="s">
        <v>106</v>
      </c>
      <c r="C15" s="5"/>
      <c r="D15" s="7"/>
      <c r="E15" s="7"/>
      <c r="F15" s="7"/>
      <c r="G15" s="6"/>
      <c r="H15" s="6"/>
      <c r="I15" s="6"/>
      <c r="J15" s="6"/>
      <c r="K15" s="6"/>
      <c r="L15" s="5"/>
      <c r="M15" s="7"/>
      <c r="N15" s="7"/>
      <c r="O15" s="7"/>
      <c r="P15" s="6"/>
      <c r="Q15" s="6"/>
      <c r="R15" s="6"/>
      <c r="S15" s="6">
        <v>1</v>
      </c>
      <c r="T15" s="6"/>
      <c r="U15" s="5"/>
      <c r="V15" s="7"/>
      <c r="W15" s="7"/>
      <c r="X15" s="7"/>
      <c r="Y15" s="6"/>
      <c r="Z15" s="6"/>
      <c r="AA15" s="6"/>
      <c r="AB15" s="6">
        <v>2</v>
      </c>
      <c r="AC15" s="6"/>
      <c r="AD15" s="5"/>
      <c r="AE15" s="7"/>
      <c r="AF15" s="7"/>
      <c r="AG15" s="7"/>
      <c r="AH15" s="6"/>
      <c r="AI15" s="6"/>
      <c r="AJ15" s="6"/>
      <c r="AK15" s="6"/>
      <c r="AL15" s="6"/>
      <c r="AM15" s="15">
        <f>C15+L15+U15+AD15</f>
        <v>0</v>
      </c>
      <c r="AN15" s="19"/>
      <c r="AO15" s="19"/>
      <c r="AP15" s="19"/>
      <c r="AQ15" s="33">
        <f t="shared" si="3"/>
        <v>0</v>
      </c>
      <c r="AR15" s="21">
        <f t="shared" si="3"/>
        <v>0</v>
      </c>
      <c r="AS15" s="6">
        <f t="shared" si="0"/>
        <v>0</v>
      </c>
      <c r="AT15" s="22">
        <f t="shared" si="1"/>
        <v>0</v>
      </c>
      <c r="AU15" s="6">
        <f t="shared" si="2"/>
        <v>3</v>
      </c>
      <c r="AV15" s="38">
        <f t="shared" si="2"/>
        <v>0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3"/>
        <v>0</v>
      </c>
      <c r="AR16" s="21">
        <f t="shared" si="3"/>
        <v>0</v>
      </c>
      <c r="AS16" s="6">
        <f t="shared" si="0"/>
        <v>0</v>
      </c>
      <c r="AT16" s="22">
        <f t="shared" si="1"/>
        <v>0</v>
      </c>
      <c r="AU16" s="6">
        <f t="shared" si="2"/>
        <v>0</v>
      </c>
      <c r="AV16" s="38">
        <f t="shared" si="2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3"/>
        <v>0</v>
      </c>
      <c r="AR17" s="30">
        <f t="shared" si="3"/>
        <v>0</v>
      </c>
      <c r="AS17" s="4">
        <f t="shared" si="0"/>
        <v>0</v>
      </c>
      <c r="AT17" s="31">
        <f t="shared" si="1"/>
        <v>0</v>
      </c>
      <c r="AU17" s="4">
        <f t="shared" si="2"/>
        <v>0</v>
      </c>
      <c r="AV17" s="39">
        <f t="shared" si="2"/>
        <v>0</v>
      </c>
    </row>
    <row r="18" spans="2:48" s="9" customFormat="1" thickBot="1" x14ac:dyDescent="0.25">
      <c r="C18" s="11">
        <f>SUM(C7:C17)</f>
        <v>10</v>
      </c>
      <c r="D18" s="10" t="str">
        <f>"2/6"</f>
        <v>2/6</v>
      </c>
      <c r="E18" s="10" t="str">
        <f>"4/11"</f>
        <v>4/11</v>
      </c>
      <c r="F18" s="10" t="str">
        <f>"0/4"</f>
        <v>0/4</v>
      </c>
      <c r="G18" s="9">
        <f>SUM(G7:G17)</f>
        <v>1</v>
      </c>
      <c r="H18" s="9">
        <f t="shared" ref="H18:K18" si="5">SUM(H7:H17)</f>
        <v>6</v>
      </c>
      <c r="I18" s="9">
        <f t="shared" si="5"/>
        <v>3</v>
      </c>
      <c r="J18" s="9">
        <f t="shared" si="5"/>
        <v>3</v>
      </c>
      <c r="K18" s="9">
        <f t="shared" si="5"/>
        <v>3</v>
      </c>
      <c r="L18" s="11">
        <f>SUM(L7:L17)</f>
        <v>10</v>
      </c>
      <c r="M18" s="10" t="str">
        <f>"4/7"</f>
        <v>4/7</v>
      </c>
      <c r="N18" s="10" t="str">
        <f>"3/9"</f>
        <v>3/9</v>
      </c>
      <c r="O18" s="47" t="str">
        <f>"0/2"</f>
        <v>0/2</v>
      </c>
      <c r="P18" s="9">
        <f>SUM(P7:P17)</f>
        <v>0</v>
      </c>
      <c r="Q18" s="9">
        <f t="shared" ref="Q18:T18" si="6">SUM(Q7:Q17)</f>
        <v>5</v>
      </c>
      <c r="R18" s="9">
        <f t="shared" si="6"/>
        <v>2</v>
      </c>
      <c r="S18" s="9">
        <f t="shared" si="6"/>
        <v>8</v>
      </c>
      <c r="T18" s="9">
        <f t="shared" si="6"/>
        <v>1</v>
      </c>
      <c r="U18" s="11">
        <f>SUM(U7:U17)</f>
        <v>8</v>
      </c>
      <c r="V18" s="10" t="str">
        <f>"2/8"</f>
        <v>2/8</v>
      </c>
      <c r="W18" s="10" t="str">
        <f>"3/10"</f>
        <v>3/10</v>
      </c>
      <c r="X18" s="10"/>
      <c r="Y18" s="9">
        <f>SUM(Y7:Y17)</f>
        <v>2</v>
      </c>
      <c r="Z18" s="9">
        <f t="shared" ref="Z18:AC18" si="7">SUM(Z7:Z17)</f>
        <v>8</v>
      </c>
      <c r="AA18" s="9">
        <f t="shared" si="7"/>
        <v>2</v>
      </c>
      <c r="AB18" s="9">
        <f t="shared" si="7"/>
        <v>8</v>
      </c>
      <c r="AC18" s="9">
        <f t="shared" si="7"/>
        <v>1</v>
      </c>
      <c r="AD18" s="11">
        <f>SUM(AD7:AD17)</f>
        <v>8</v>
      </c>
      <c r="AE18" s="10" t="str">
        <f>"2/6"</f>
        <v>2/6</v>
      </c>
      <c r="AF18" s="10" t="str">
        <f>"3/16"</f>
        <v>3/16</v>
      </c>
      <c r="AG18" s="10"/>
      <c r="AH18" s="9">
        <f>SUM(AH7:AH17)</f>
        <v>0</v>
      </c>
      <c r="AI18" s="9">
        <f t="shared" ref="AI18:AL18" si="8">SUM(AI7:AI17)</f>
        <v>7</v>
      </c>
      <c r="AJ18" s="9">
        <f t="shared" si="8"/>
        <v>4</v>
      </c>
      <c r="AK18" s="9">
        <f t="shared" si="8"/>
        <v>7</v>
      </c>
      <c r="AL18" s="9">
        <f t="shared" si="8"/>
        <v>1</v>
      </c>
      <c r="AM18" s="12">
        <f>SUM(AM7:AM17)</f>
        <v>36</v>
      </c>
      <c r="AN18" s="13" t="str">
        <f>"10/27"</f>
        <v>10/27</v>
      </c>
      <c r="AO18" s="13" t="str">
        <f>"13/46"</f>
        <v>13/46</v>
      </c>
      <c r="AP18" s="13" t="str">
        <f>"0/6"</f>
        <v>0/6</v>
      </c>
      <c r="AQ18" s="11">
        <f t="shared" ref="AQ18:AV18" si="9">SUM(AQ7:AQ17)</f>
        <v>3</v>
      </c>
      <c r="AR18" s="11">
        <f t="shared" si="9"/>
        <v>26</v>
      </c>
      <c r="AS18" s="11">
        <f t="shared" si="9"/>
        <v>11</v>
      </c>
      <c r="AT18" s="11">
        <f t="shared" si="9"/>
        <v>37</v>
      </c>
      <c r="AU18" s="11">
        <f t="shared" si="9"/>
        <v>26</v>
      </c>
      <c r="AV18" s="11">
        <f t="shared" si="9"/>
        <v>6</v>
      </c>
    </row>
    <row r="19" spans="2:48" s="40" customFormat="1" thickBot="1" x14ac:dyDescent="0.25">
      <c r="B19" s="40" t="s">
        <v>54</v>
      </c>
      <c r="F19" s="67" t="str">
        <f>"26/10"</f>
        <v>26/10</v>
      </c>
      <c r="G19" s="68"/>
      <c r="H19" s="68"/>
      <c r="I19" s="68"/>
      <c r="J19" s="68"/>
      <c r="K19" s="69"/>
      <c r="O19" s="67" t="str">
        <f>"17/10"</f>
        <v>17/10</v>
      </c>
      <c r="P19" s="68"/>
      <c r="Q19" s="68"/>
      <c r="R19" s="68"/>
      <c r="S19" s="68"/>
      <c r="T19" s="69"/>
      <c r="X19" s="67" t="str">
        <f>"17/8"</f>
        <v>17/8</v>
      </c>
      <c r="Y19" s="68"/>
      <c r="Z19" s="68"/>
      <c r="AA19" s="68"/>
      <c r="AB19" s="68"/>
      <c r="AC19" s="69"/>
      <c r="AG19" s="67" t="str">
        <f>"15/8"</f>
        <v>15/8</v>
      </c>
      <c r="AH19" s="68"/>
      <c r="AI19" s="68"/>
      <c r="AJ19" s="68"/>
      <c r="AK19" s="68"/>
      <c r="AL19" s="69"/>
      <c r="AN19" s="14">
        <f>10/27</f>
        <v>0.37037037037037035</v>
      </c>
      <c r="AO19" s="14">
        <f>13/46</f>
        <v>0.28260869565217389</v>
      </c>
      <c r="AP19" s="14">
        <v>0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"43/20"</f>
        <v>43/20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"60/28"</f>
        <v>60/28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113</v>
      </c>
      <c r="AM21" s="48">
        <v>81</v>
      </c>
      <c r="AN21" s="42" t="s">
        <v>114</v>
      </c>
      <c r="AO21" s="42" t="s">
        <v>115</v>
      </c>
      <c r="AP21" s="42" t="s">
        <v>116</v>
      </c>
      <c r="AQ21" s="43">
        <v>9</v>
      </c>
      <c r="AR21" s="43">
        <v>35</v>
      </c>
      <c r="AS21" s="43">
        <v>9</v>
      </c>
      <c r="AT21" s="43">
        <v>44</v>
      </c>
      <c r="AU21" s="43">
        <v>20</v>
      </c>
      <c r="AV21" s="43">
        <v>6</v>
      </c>
    </row>
    <row r="22" spans="2:48" x14ac:dyDescent="0.25">
      <c r="C22" s="1" t="s">
        <v>20</v>
      </c>
      <c r="D22" s="1" t="s">
        <v>27</v>
      </c>
      <c r="AN22" s="14">
        <v>0.5</v>
      </c>
      <c r="AO22" s="14">
        <v>0.51724137931034486</v>
      </c>
      <c r="AP22" s="14">
        <v>0.5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109</v>
      </c>
      <c r="AM24" s="48">
        <v>72</v>
      </c>
      <c r="AN24" s="42" t="s">
        <v>107</v>
      </c>
      <c r="AO24" s="42" t="s">
        <v>108</v>
      </c>
      <c r="AP24" s="42" t="s">
        <v>43</v>
      </c>
      <c r="AQ24" s="43">
        <v>11</v>
      </c>
      <c r="AR24" s="43">
        <v>34</v>
      </c>
      <c r="AS24" s="43">
        <v>18</v>
      </c>
      <c r="AT24" s="43">
        <v>52</v>
      </c>
      <c r="AU24" s="43">
        <v>12</v>
      </c>
      <c r="AV24" s="43">
        <v>5</v>
      </c>
    </row>
    <row r="25" spans="2:48" x14ac:dyDescent="0.25">
      <c r="C25" s="40" t="s">
        <v>23</v>
      </c>
      <c r="D25" s="40" t="s">
        <v>31</v>
      </c>
      <c r="E25" s="40"/>
      <c r="AN25" s="14">
        <v>0.34482758620689657</v>
      </c>
      <c r="AO25" s="14">
        <v>0.484375</v>
      </c>
      <c r="AP25" s="14">
        <v>0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102</v>
      </c>
      <c r="AM27" s="48">
        <v>63</v>
      </c>
      <c r="AN27" s="42" t="s">
        <v>103</v>
      </c>
      <c r="AO27" s="42" t="s">
        <v>104</v>
      </c>
      <c r="AP27" s="42" t="s">
        <v>84</v>
      </c>
      <c r="AQ27" s="43">
        <v>5</v>
      </c>
      <c r="AR27" s="43">
        <v>29</v>
      </c>
      <c r="AS27" s="43">
        <v>23</v>
      </c>
      <c r="AT27" s="43">
        <v>52</v>
      </c>
      <c r="AU27" s="43">
        <v>16</v>
      </c>
      <c r="AV27" s="43">
        <v>12</v>
      </c>
    </row>
    <row r="28" spans="2:48" x14ac:dyDescent="0.25">
      <c r="AN28" s="14">
        <v>0.35294117647058826</v>
      </c>
      <c r="AO28" s="14">
        <v>0.38095238095238093</v>
      </c>
      <c r="AP28" s="14">
        <v>0.5</v>
      </c>
    </row>
    <row r="30" spans="2:48" x14ac:dyDescent="0.25">
      <c r="AG30" s="1" t="s">
        <v>96</v>
      </c>
      <c r="AM30" s="48">
        <v>63</v>
      </c>
      <c r="AN30" s="42" t="s">
        <v>93</v>
      </c>
      <c r="AO30" s="42" t="s">
        <v>94</v>
      </c>
      <c r="AP30" s="42" t="s">
        <v>95</v>
      </c>
      <c r="AQ30" s="43">
        <v>8</v>
      </c>
      <c r="AR30" s="43">
        <v>31</v>
      </c>
      <c r="AS30" s="43">
        <v>16</v>
      </c>
      <c r="AT30" s="43">
        <v>47</v>
      </c>
      <c r="AU30" s="43">
        <v>25</v>
      </c>
      <c r="AV30" s="43">
        <v>11</v>
      </c>
    </row>
    <row r="31" spans="2:48" x14ac:dyDescent="0.25">
      <c r="AN31" s="14">
        <v>0.42105263157894735</v>
      </c>
      <c r="AO31" s="14">
        <v>0.47272727272727272</v>
      </c>
      <c r="AP31" s="14">
        <v>0.1111111111111111</v>
      </c>
    </row>
    <row r="33" spans="33:48" x14ac:dyDescent="0.25">
      <c r="AG33" s="1" t="s">
        <v>87</v>
      </c>
      <c r="AM33" s="48">
        <v>51</v>
      </c>
      <c r="AN33" s="42" t="s">
        <v>88</v>
      </c>
      <c r="AO33" s="42" t="s">
        <v>89</v>
      </c>
      <c r="AP33" s="42" t="s">
        <v>90</v>
      </c>
      <c r="AQ33" s="43">
        <v>5</v>
      </c>
      <c r="AR33" s="43">
        <v>16</v>
      </c>
      <c r="AS33" s="43">
        <v>11</v>
      </c>
      <c r="AT33" s="43">
        <v>27</v>
      </c>
      <c r="AU33" s="43">
        <v>31</v>
      </c>
      <c r="AV33" s="43">
        <v>10</v>
      </c>
    </row>
    <row r="34" spans="33:48" x14ac:dyDescent="0.25">
      <c r="AN34" s="14">
        <v>0.6</v>
      </c>
      <c r="AO34" s="14">
        <v>0.39622641509433965</v>
      </c>
      <c r="AP34" s="14">
        <v>0.25</v>
      </c>
    </row>
    <row r="36" spans="33:48" x14ac:dyDescent="0.25">
      <c r="AG36" s="1" t="s">
        <v>81</v>
      </c>
      <c r="AM36" s="48">
        <v>57</v>
      </c>
      <c r="AN36" s="42" t="s">
        <v>82</v>
      </c>
      <c r="AO36" s="42" t="s">
        <v>83</v>
      </c>
      <c r="AP36" s="42" t="s">
        <v>84</v>
      </c>
      <c r="AQ36" s="43">
        <v>7</v>
      </c>
      <c r="AR36" s="43">
        <v>29</v>
      </c>
      <c r="AS36" s="43">
        <v>13</v>
      </c>
      <c r="AT36" s="43">
        <v>42</v>
      </c>
      <c r="AU36" s="43">
        <v>23</v>
      </c>
      <c r="AV36" s="43">
        <v>9</v>
      </c>
    </row>
    <row r="37" spans="33:48" x14ac:dyDescent="0.25">
      <c r="AN37" s="14">
        <v>0.30769230769230771</v>
      </c>
      <c r="AO37" s="14">
        <v>0.37931034482758619</v>
      </c>
      <c r="AP37" s="14">
        <v>0.5</v>
      </c>
    </row>
    <row r="39" spans="33:48" x14ac:dyDescent="0.25">
      <c r="AG39" s="1" t="s">
        <v>77</v>
      </c>
      <c r="AM39" s="48">
        <v>47</v>
      </c>
      <c r="AN39" s="42" t="s">
        <v>78</v>
      </c>
      <c r="AO39" s="42" t="s">
        <v>79</v>
      </c>
      <c r="AP39" s="42" t="s">
        <v>80</v>
      </c>
      <c r="AQ39" s="43">
        <v>1</v>
      </c>
      <c r="AR39" s="43">
        <v>31</v>
      </c>
      <c r="AS39" s="43">
        <v>5</v>
      </c>
      <c r="AT39" s="43">
        <v>36</v>
      </c>
      <c r="AU39" s="43">
        <v>34</v>
      </c>
      <c r="AV39" s="43">
        <v>10</v>
      </c>
    </row>
    <row r="40" spans="33:48" x14ac:dyDescent="0.25">
      <c r="AN40" s="14">
        <v>0.21428571428571427</v>
      </c>
      <c r="AO40" s="14">
        <v>0.32653061224489793</v>
      </c>
      <c r="AP40" s="14">
        <v>0.44444444444444442</v>
      </c>
    </row>
    <row r="42" spans="33:48" x14ac:dyDescent="0.25">
      <c r="AG42" s="1" t="s">
        <v>70</v>
      </c>
      <c r="AM42" s="48">
        <v>44</v>
      </c>
      <c r="AN42" s="42" t="s">
        <v>71</v>
      </c>
      <c r="AO42" s="42" t="s">
        <v>72</v>
      </c>
      <c r="AP42" s="42" t="s">
        <v>73</v>
      </c>
      <c r="AQ42" s="43">
        <v>3</v>
      </c>
      <c r="AR42" s="43">
        <v>31</v>
      </c>
      <c r="AS42" s="43">
        <v>12</v>
      </c>
      <c r="AT42" s="43">
        <v>43</v>
      </c>
      <c r="AU42" s="43">
        <v>26</v>
      </c>
      <c r="AV42" s="43">
        <v>11</v>
      </c>
    </row>
    <row r="43" spans="33:48" x14ac:dyDescent="0.25">
      <c r="AN43" s="14">
        <v>0.23809523809523808</v>
      </c>
      <c r="AO43" s="14">
        <v>0.26315789473684209</v>
      </c>
      <c r="AP43" s="14">
        <v>0.33333333333333331</v>
      </c>
    </row>
    <row r="45" spans="33:48" x14ac:dyDescent="0.25">
      <c r="AG45" s="1" t="s">
        <v>64</v>
      </c>
      <c r="AM45" s="48">
        <v>38</v>
      </c>
      <c r="AN45" s="42" t="s">
        <v>65</v>
      </c>
      <c r="AO45" s="42" t="s">
        <v>66</v>
      </c>
      <c r="AP45" s="42" t="s">
        <v>52</v>
      </c>
      <c r="AQ45" s="43">
        <v>2</v>
      </c>
      <c r="AR45" s="43">
        <v>20</v>
      </c>
      <c r="AS45" s="43">
        <v>10</v>
      </c>
      <c r="AT45" s="43">
        <v>30</v>
      </c>
      <c r="AU45" s="43">
        <v>24</v>
      </c>
      <c r="AV45" s="43">
        <v>3</v>
      </c>
    </row>
    <row r="46" spans="33:48" x14ac:dyDescent="0.25">
      <c r="AN46" s="14">
        <v>0.23076923076923078</v>
      </c>
      <c r="AO46" s="14">
        <v>0.2857142857142857</v>
      </c>
      <c r="AP46" s="14">
        <v>1</v>
      </c>
    </row>
    <row r="48" spans="33:48" x14ac:dyDescent="0.25">
      <c r="AG48" s="1" t="s">
        <v>58</v>
      </c>
      <c r="AM48" s="48">
        <v>56</v>
      </c>
      <c r="AN48" s="42" t="s">
        <v>59</v>
      </c>
      <c r="AO48" s="42" t="s">
        <v>60</v>
      </c>
      <c r="AP48" s="42" t="s">
        <v>61</v>
      </c>
      <c r="AQ48" s="43">
        <v>5</v>
      </c>
      <c r="AR48" s="43">
        <v>31</v>
      </c>
      <c r="AS48" s="43">
        <v>8</v>
      </c>
      <c r="AT48" s="43">
        <v>39</v>
      </c>
      <c r="AU48" s="43">
        <v>22</v>
      </c>
      <c r="AV48" s="43">
        <v>6</v>
      </c>
    </row>
    <row r="49" spans="33:48" x14ac:dyDescent="0.25">
      <c r="AN49" s="14">
        <v>0.52631578947368418</v>
      </c>
      <c r="AO49" s="14">
        <v>0.40740740740740738</v>
      </c>
      <c r="AP49" s="14">
        <v>0.5</v>
      </c>
    </row>
    <row r="51" spans="33:48" x14ac:dyDescent="0.25">
      <c r="AG51" s="1" t="s">
        <v>53</v>
      </c>
      <c r="AM51" s="48">
        <v>47</v>
      </c>
      <c r="AN51" s="42" t="s">
        <v>49</v>
      </c>
      <c r="AO51" s="42" t="s">
        <v>50</v>
      </c>
      <c r="AP51" s="42" t="s">
        <v>51</v>
      </c>
      <c r="AQ51" s="43">
        <v>5</v>
      </c>
      <c r="AR51" s="43">
        <v>24</v>
      </c>
      <c r="AS51" s="43">
        <v>6</v>
      </c>
      <c r="AT51" s="43">
        <v>30</v>
      </c>
      <c r="AU51" s="43">
        <v>29</v>
      </c>
      <c r="AV51" s="43">
        <v>9</v>
      </c>
    </row>
    <row r="52" spans="33:48" x14ac:dyDescent="0.25">
      <c r="AN52" s="14">
        <v>0.53846153846153844</v>
      </c>
      <c r="AO52" s="14">
        <v>0.33333333333333331</v>
      </c>
      <c r="AP52" s="14">
        <v>0.33333333333333331</v>
      </c>
    </row>
    <row r="54" spans="33:48" x14ac:dyDescent="0.25">
      <c r="AG54" s="1" t="s">
        <v>46</v>
      </c>
      <c r="AM54" s="48">
        <v>33</v>
      </c>
      <c r="AN54" s="42" t="s">
        <v>98</v>
      </c>
      <c r="AO54" s="42" t="s">
        <v>99</v>
      </c>
      <c r="AP54" s="42" t="s">
        <v>52</v>
      </c>
      <c r="AQ54" s="43">
        <v>3</v>
      </c>
      <c r="AR54" s="43">
        <v>16</v>
      </c>
      <c r="AS54" s="43">
        <v>7</v>
      </c>
      <c r="AT54" s="43">
        <v>23</v>
      </c>
      <c r="AU54" s="43">
        <v>37</v>
      </c>
      <c r="AV54" s="43">
        <v>18</v>
      </c>
    </row>
    <row r="55" spans="33:48" x14ac:dyDescent="0.25">
      <c r="AN55" s="14">
        <v>0.5</v>
      </c>
      <c r="AO55" s="14">
        <v>0.28947368421052633</v>
      </c>
      <c r="AP55" s="14">
        <v>1</v>
      </c>
    </row>
  </sheetData>
  <mergeCells count="15">
    <mergeCell ref="AM5:AV5"/>
    <mergeCell ref="F19:K19"/>
    <mergeCell ref="O19:T19"/>
    <mergeCell ref="X19:AC19"/>
    <mergeCell ref="AG19:AL19"/>
    <mergeCell ref="AD5:AL5"/>
    <mergeCell ref="L20:N20"/>
    <mergeCell ref="O20:T20"/>
    <mergeCell ref="U20:W20"/>
    <mergeCell ref="X20:AC20"/>
    <mergeCell ref="K2:N2"/>
    <mergeCell ref="W2:X2"/>
    <mergeCell ref="C5:K5"/>
    <mergeCell ref="L5:T5"/>
    <mergeCell ref="U5:AC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V58"/>
  <sheetViews>
    <sheetView workbookViewId="0">
      <selection activeCell="AM18" sqref="AM18:AV19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5.1406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4.7109375" style="1" customWidth="1"/>
    <col min="39" max="39" width="3.7109375" style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121</v>
      </c>
      <c r="I2" s="40" t="s">
        <v>38</v>
      </c>
      <c r="K2" s="52">
        <v>43184</v>
      </c>
      <c r="L2" s="52"/>
      <c r="M2" s="52"/>
      <c r="N2" s="52"/>
      <c r="Q2" s="45" t="s">
        <v>47</v>
      </c>
      <c r="W2" s="65" t="str">
        <f>"59/61"</f>
        <v>59/61</v>
      </c>
      <c r="X2" s="66"/>
    </row>
    <row r="3" spans="2:48" x14ac:dyDescent="0.25">
      <c r="B3" s="40" t="s">
        <v>36</v>
      </c>
      <c r="C3" s="1" t="s">
        <v>76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>
        <v>7</v>
      </c>
      <c r="D7" s="7" t="str">
        <f>"1/2"</f>
        <v>1/2</v>
      </c>
      <c r="E7" s="7" t="str">
        <f>"3/6"</f>
        <v>3/6</v>
      </c>
      <c r="F7" s="7"/>
      <c r="G7" s="6"/>
      <c r="H7" s="6">
        <v>3</v>
      </c>
      <c r="I7" s="6">
        <v>2</v>
      </c>
      <c r="J7" s="6"/>
      <c r="K7" s="6"/>
      <c r="L7" s="5">
        <v>2</v>
      </c>
      <c r="M7" s="7"/>
      <c r="N7" s="7" t="str">
        <f>"1/3"</f>
        <v>1/3</v>
      </c>
      <c r="O7" s="7"/>
      <c r="P7" s="6"/>
      <c r="Q7" s="6">
        <v>3</v>
      </c>
      <c r="R7" s="6"/>
      <c r="S7" s="6">
        <v>1</v>
      </c>
      <c r="T7" s="6">
        <v>2</v>
      </c>
      <c r="U7" s="5"/>
      <c r="V7" s="7"/>
      <c r="W7" s="7" t="str">
        <f>"0/2"</f>
        <v>0/2</v>
      </c>
      <c r="X7" s="7"/>
      <c r="Y7" s="6"/>
      <c r="Z7" s="6">
        <v>2</v>
      </c>
      <c r="AA7" s="6"/>
      <c r="AB7" s="6"/>
      <c r="AC7" s="6"/>
      <c r="AD7" s="5">
        <v>4</v>
      </c>
      <c r="AE7" s="7"/>
      <c r="AF7" s="7" t="str">
        <f>"2/3"</f>
        <v>2/3</v>
      </c>
      <c r="AG7" s="7"/>
      <c r="AH7" s="6"/>
      <c r="AI7" s="6">
        <v>6</v>
      </c>
      <c r="AJ7" s="6"/>
      <c r="AK7" s="6"/>
      <c r="AL7" s="6">
        <v>1</v>
      </c>
      <c r="AM7" s="25">
        <f>C7+L7+U7+AD7</f>
        <v>13</v>
      </c>
      <c r="AN7" s="26" t="str">
        <f>"1/2"</f>
        <v>1/2</v>
      </c>
      <c r="AO7" s="26" t="str">
        <f>"6/14"</f>
        <v>6/14</v>
      </c>
      <c r="AP7" s="26"/>
      <c r="AQ7" s="32">
        <f t="shared" ref="AQ7:AS17" si="0">G7+P7+Y7+AH7</f>
        <v>0</v>
      </c>
      <c r="AR7" s="28">
        <f>H7+Q7+Z7+AI7</f>
        <v>14</v>
      </c>
      <c r="AS7" s="27">
        <f>I7+R7+AA7+AJ7</f>
        <v>2</v>
      </c>
      <c r="AT7" s="29">
        <f>AR7+AS7</f>
        <v>16</v>
      </c>
      <c r="AU7" s="27">
        <f>J7+S7+AB7+AK7</f>
        <v>1</v>
      </c>
      <c r="AV7" s="37">
        <f>K7+T7+AC7+AL7</f>
        <v>3</v>
      </c>
    </row>
    <row r="8" spans="2:48" x14ac:dyDescent="0.25">
      <c r="B8" s="5" t="s">
        <v>12</v>
      </c>
      <c r="C8" s="5">
        <v>2</v>
      </c>
      <c r="D8" s="7"/>
      <c r="E8" s="7" t="str">
        <f>"1/4"</f>
        <v>1/4</v>
      </c>
      <c r="F8" s="7"/>
      <c r="G8" s="6"/>
      <c r="H8" s="6">
        <v>3</v>
      </c>
      <c r="I8" s="6">
        <v>1</v>
      </c>
      <c r="J8" s="6"/>
      <c r="K8" s="6"/>
      <c r="L8" s="5">
        <v>1</v>
      </c>
      <c r="M8" s="7" t="str">
        <f>"1/2"</f>
        <v>1/2</v>
      </c>
      <c r="N8" s="7" t="str">
        <f>"0/1"</f>
        <v>0/1</v>
      </c>
      <c r="O8" s="7" t="str">
        <f>"0/1"</f>
        <v>0/1</v>
      </c>
      <c r="P8" s="6"/>
      <c r="Q8" s="6">
        <v>2</v>
      </c>
      <c r="R8" s="6"/>
      <c r="S8" s="6">
        <v>1</v>
      </c>
      <c r="T8" s="6"/>
      <c r="U8" s="5">
        <v>5</v>
      </c>
      <c r="V8" s="7" t="str">
        <f>"1/1"</f>
        <v>1/1</v>
      </c>
      <c r="W8" s="7" t="str">
        <f>"2/4"</f>
        <v>2/4</v>
      </c>
      <c r="X8" s="7"/>
      <c r="Y8" s="6"/>
      <c r="Z8" s="6">
        <v>2</v>
      </c>
      <c r="AA8" s="6"/>
      <c r="AB8" s="6">
        <v>2</v>
      </c>
      <c r="AC8" s="6"/>
      <c r="AD8" s="5">
        <v>5</v>
      </c>
      <c r="AE8" s="7" t="str">
        <f>"1/2"</f>
        <v>1/2</v>
      </c>
      <c r="AF8" s="7" t="str">
        <f>"2/4"</f>
        <v>2/4</v>
      </c>
      <c r="AG8" s="7"/>
      <c r="AH8" s="6"/>
      <c r="AI8" s="6">
        <v>2</v>
      </c>
      <c r="AJ8" s="6">
        <v>1</v>
      </c>
      <c r="AK8" s="6"/>
      <c r="AL8" s="6"/>
      <c r="AM8" s="15">
        <f>C8+L8+U8+AD8</f>
        <v>13</v>
      </c>
      <c r="AN8" s="19" t="str">
        <f>"3/5"</f>
        <v>3/5</v>
      </c>
      <c r="AO8" s="19" t="str">
        <f>"5/13"</f>
        <v>5/13</v>
      </c>
      <c r="AP8" s="19" t="str">
        <f>"0/1"</f>
        <v>0/1</v>
      </c>
      <c r="AQ8" s="33">
        <f t="shared" si="0"/>
        <v>0</v>
      </c>
      <c r="AR8" s="21">
        <f>H8+Q8+Z8+AI8</f>
        <v>9</v>
      </c>
      <c r="AS8" s="6">
        <f>I8+R8+AA8+AJ8</f>
        <v>2</v>
      </c>
      <c r="AT8" s="22">
        <f t="shared" ref="AT8:AT17" si="1">AR8+AS8</f>
        <v>11</v>
      </c>
      <c r="AU8" s="6">
        <f>J8+S8+AB8+AK8</f>
        <v>3</v>
      </c>
      <c r="AV8" s="38">
        <f>K8+T8+AC8+AL8</f>
        <v>0</v>
      </c>
    </row>
    <row r="9" spans="2:48" x14ac:dyDescent="0.25">
      <c r="B9" s="5" t="s">
        <v>41</v>
      </c>
      <c r="C9" s="5">
        <v>9</v>
      </c>
      <c r="D9" s="7" t="str">
        <f>"3/5"</f>
        <v>3/5</v>
      </c>
      <c r="E9" s="7" t="str">
        <f>"3/4"</f>
        <v>3/4</v>
      </c>
      <c r="F9" s="7"/>
      <c r="G9" s="6"/>
      <c r="H9" s="6"/>
      <c r="I9" s="6">
        <v>1</v>
      </c>
      <c r="J9" s="6"/>
      <c r="K9" s="6"/>
      <c r="L9" s="5">
        <v>5</v>
      </c>
      <c r="M9" s="7" t="str">
        <f>"3/4"</f>
        <v>3/4</v>
      </c>
      <c r="N9" s="7" t="str">
        <f>"1/3"</f>
        <v>1/3</v>
      </c>
      <c r="O9" s="7"/>
      <c r="P9" s="6">
        <v>1</v>
      </c>
      <c r="Q9" s="6">
        <v>1</v>
      </c>
      <c r="R9" s="6"/>
      <c r="S9" s="6">
        <v>1</v>
      </c>
      <c r="T9" s="6">
        <v>1</v>
      </c>
      <c r="U9" s="5"/>
      <c r="V9" s="7"/>
      <c r="W9" s="7" t="str">
        <f>"0/1"</f>
        <v>0/1</v>
      </c>
      <c r="X9" s="7"/>
      <c r="Y9" s="6"/>
      <c r="Z9" s="6">
        <v>1</v>
      </c>
      <c r="AA9" s="6"/>
      <c r="AB9" s="6"/>
      <c r="AC9" s="6"/>
      <c r="AD9" s="5">
        <v>5</v>
      </c>
      <c r="AE9" s="7"/>
      <c r="AF9" s="7" t="str">
        <f>"1/1"</f>
        <v>1/1</v>
      </c>
      <c r="AG9" s="7" t="str">
        <f>"1/1"</f>
        <v>1/1</v>
      </c>
      <c r="AH9" s="6">
        <v>1</v>
      </c>
      <c r="AI9" s="6"/>
      <c r="AJ9" s="6"/>
      <c r="AK9" s="6">
        <v>1</v>
      </c>
      <c r="AL9" s="6"/>
      <c r="AM9" s="15">
        <f>C9+L9+U9+AD9</f>
        <v>19</v>
      </c>
      <c r="AN9" s="19" t="str">
        <f>"6/9"</f>
        <v>6/9</v>
      </c>
      <c r="AO9" s="19" t="str">
        <f>"5/9"</f>
        <v>5/9</v>
      </c>
      <c r="AP9" s="19" t="str">
        <f>"1/1"</f>
        <v>1/1</v>
      </c>
      <c r="AQ9" s="33">
        <f>G9+P9+Y9+AH9</f>
        <v>2</v>
      </c>
      <c r="AR9" s="21">
        <f t="shared" si="0"/>
        <v>2</v>
      </c>
      <c r="AS9" s="6">
        <f t="shared" si="0"/>
        <v>1</v>
      </c>
      <c r="AT9" s="22">
        <f t="shared" si="1"/>
        <v>3</v>
      </c>
      <c r="AU9" s="6">
        <f t="shared" ref="AU9:AV17" si="2">J9+S9+AB9+AK9</f>
        <v>2</v>
      </c>
      <c r="AV9" s="38">
        <f t="shared" si="2"/>
        <v>1</v>
      </c>
    </row>
    <row r="10" spans="2:48" x14ac:dyDescent="0.25">
      <c r="B10" s="5" t="s">
        <v>10</v>
      </c>
      <c r="C10" s="5"/>
      <c r="D10" s="7"/>
      <c r="E10" s="7" t="str">
        <f>"0/1"</f>
        <v>0/1</v>
      </c>
      <c r="F10" s="7"/>
      <c r="G10" s="6">
        <v>1</v>
      </c>
      <c r="H10" s="6"/>
      <c r="I10" s="6"/>
      <c r="J10" s="6"/>
      <c r="K10" s="6"/>
      <c r="L10" s="5">
        <v>1</v>
      </c>
      <c r="M10" s="7" t="str">
        <f>"1/2"</f>
        <v>1/2</v>
      </c>
      <c r="N10" s="7" t="str">
        <f>"0/1"</f>
        <v>0/1</v>
      </c>
      <c r="O10" s="7"/>
      <c r="P10" s="6"/>
      <c r="Q10" s="6"/>
      <c r="R10" s="6"/>
      <c r="S10" s="6"/>
      <c r="T10" s="6"/>
      <c r="U10" s="5"/>
      <c r="V10" s="7"/>
      <c r="W10" s="7" t="str">
        <f>"0/1"</f>
        <v>0/1</v>
      </c>
      <c r="X10" s="7"/>
      <c r="Y10" s="6"/>
      <c r="Z10" s="6"/>
      <c r="AA10" s="6"/>
      <c r="AB10" s="6"/>
      <c r="AC10" s="6"/>
      <c r="AD10" s="5">
        <v>2</v>
      </c>
      <c r="AE10" s="7" t="str">
        <f>"0/4"</f>
        <v>0/4</v>
      </c>
      <c r="AF10" s="7" t="str">
        <f>"1/1"</f>
        <v>1/1</v>
      </c>
      <c r="AG10" s="7"/>
      <c r="AH10" s="6"/>
      <c r="AI10" s="6">
        <v>1</v>
      </c>
      <c r="AJ10" s="6"/>
      <c r="AK10" s="6"/>
      <c r="AL10" s="6"/>
      <c r="AM10" s="15">
        <f>C10+L10+U10+AD10</f>
        <v>3</v>
      </c>
      <c r="AN10" s="19" t="str">
        <f>"1/6"</f>
        <v>1/6</v>
      </c>
      <c r="AO10" s="19" t="str">
        <f>"1/4"</f>
        <v>1/4</v>
      </c>
      <c r="AP10" s="19"/>
      <c r="AQ10" s="33">
        <f t="shared" ref="AQ10:AR17" si="3">G10+P10+Y10+AH10</f>
        <v>1</v>
      </c>
      <c r="AR10" s="21">
        <f>H10+Q10+Z10+AI10</f>
        <v>1</v>
      </c>
      <c r="AS10" s="6">
        <f t="shared" si="0"/>
        <v>0</v>
      </c>
      <c r="AT10" s="22">
        <f t="shared" si="1"/>
        <v>1</v>
      </c>
      <c r="AU10" s="6">
        <f t="shared" si="2"/>
        <v>0</v>
      </c>
      <c r="AV10" s="38">
        <f t="shared" si="2"/>
        <v>0</v>
      </c>
    </row>
    <row r="11" spans="2:48" x14ac:dyDescent="0.25">
      <c r="B11" s="5" t="s">
        <v>15</v>
      </c>
      <c r="C11" s="5"/>
      <c r="D11" s="7"/>
      <c r="E11" s="7" t="str">
        <f>"0/1"</f>
        <v>0/1</v>
      </c>
      <c r="F11" s="7"/>
      <c r="G11" s="6">
        <v>1</v>
      </c>
      <c r="H11" s="6">
        <v>1</v>
      </c>
      <c r="I11" s="6"/>
      <c r="J11" s="6">
        <v>2</v>
      </c>
      <c r="K11" s="6"/>
      <c r="L11" s="5">
        <v>2</v>
      </c>
      <c r="M11" s="7"/>
      <c r="N11" s="7" t="str">
        <f>"1/1"</f>
        <v>1/1</v>
      </c>
      <c r="O11" s="7" t="str">
        <f>"0/1"</f>
        <v>0/1</v>
      </c>
      <c r="P11" s="6"/>
      <c r="Q11" s="6"/>
      <c r="R11" s="6"/>
      <c r="S11" s="6">
        <v>1</v>
      </c>
      <c r="T11" s="6">
        <v>1</v>
      </c>
      <c r="U11" s="5">
        <v>3</v>
      </c>
      <c r="V11" s="7"/>
      <c r="W11" s="7" t="str">
        <f>"0/4"</f>
        <v>0/4</v>
      </c>
      <c r="X11" s="7" t="str">
        <f>"1/1"</f>
        <v>1/1</v>
      </c>
      <c r="Y11" s="6"/>
      <c r="Z11" s="6"/>
      <c r="AA11" s="6">
        <v>1</v>
      </c>
      <c r="AB11" s="6">
        <v>1</v>
      </c>
      <c r="AC11" s="6"/>
      <c r="AD11" s="5"/>
      <c r="AE11" s="7"/>
      <c r="AF11" s="7" t="str">
        <f>"0/1"</f>
        <v>0/1</v>
      </c>
      <c r="AG11" s="7"/>
      <c r="AH11" s="6"/>
      <c r="AI11" s="6">
        <v>1</v>
      </c>
      <c r="AJ11" s="6"/>
      <c r="AK11" s="6">
        <v>2</v>
      </c>
      <c r="AL11" s="6"/>
      <c r="AM11" s="15">
        <f t="shared" ref="AM11:AM12" si="4">C11+L11+U11+AD11</f>
        <v>5</v>
      </c>
      <c r="AN11" s="19"/>
      <c r="AO11" s="19" t="str">
        <f>"1/7"</f>
        <v>1/7</v>
      </c>
      <c r="AP11" s="19" t="str">
        <f>"1/2"</f>
        <v>1/2</v>
      </c>
      <c r="AQ11" s="33">
        <f t="shared" si="3"/>
        <v>1</v>
      </c>
      <c r="AR11" s="21">
        <f t="shared" si="3"/>
        <v>2</v>
      </c>
      <c r="AS11" s="6">
        <f t="shared" si="0"/>
        <v>1</v>
      </c>
      <c r="AT11" s="22">
        <f t="shared" si="1"/>
        <v>3</v>
      </c>
      <c r="AU11" s="6">
        <f t="shared" si="2"/>
        <v>6</v>
      </c>
      <c r="AV11" s="38">
        <f t="shared" si="2"/>
        <v>1</v>
      </c>
    </row>
    <row r="12" spans="2:48" x14ac:dyDescent="0.25">
      <c r="B12" s="5" t="s">
        <v>68</v>
      </c>
      <c r="C12" s="5"/>
      <c r="D12" s="7"/>
      <c r="E12" s="7" t="str">
        <f>"0/1"</f>
        <v>0/1</v>
      </c>
      <c r="F12" s="7"/>
      <c r="G12" s="6"/>
      <c r="H12" s="6"/>
      <c r="I12" s="6"/>
      <c r="J12" s="6"/>
      <c r="K12" s="6"/>
      <c r="L12" s="5"/>
      <c r="M12" s="7"/>
      <c r="N12" s="7"/>
      <c r="O12" s="7"/>
      <c r="P12" s="6"/>
      <c r="Q12" s="6"/>
      <c r="R12" s="6"/>
      <c r="S12" s="6">
        <v>2</v>
      </c>
      <c r="T12" s="6"/>
      <c r="U12" s="5">
        <v>2</v>
      </c>
      <c r="V12" s="7"/>
      <c r="W12" s="7" t="str">
        <f>"1/1"</f>
        <v>1/1</v>
      </c>
      <c r="X12" s="7"/>
      <c r="Y12" s="6"/>
      <c r="Z12" s="6"/>
      <c r="AA12" s="6"/>
      <c r="AB12" s="6">
        <v>2</v>
      </c>
      <c r="AC12" s="6"/>
      <c r="AD12" s="5"/>
      <c r="AE12" s="7"/>
      <c r="AF12" s="7"/>
      <c r="AG12" s="7"/>
      <c r="AH12" s="6"/>
      <c r="AI12" s="6"/>
      <c r="AJ12" s="6"/>
      <c r="AK12" s="6"/>
      <c r="AL12" s="6"/>
      <c r="AM12" s="15">
        <f t="shared" si="4"/>
        <v>2</v>
      </c>
      <c r="AN12" s="19"/>
      <c r="AO12" s="19" t="str">
        <f>"1/2"</f>
        <v>1/2</v>
      </c>
      <c r="AP12" s="19"/>
      <c r="AQ12" s="33">
        <f t="shared" si="3"/>
        <v>0</v>
      </c>
      <c r="AR12" s="21">
        <f t="shared" si="3"/>
        <v>0</v>
      </c>
      <c r="AS12" s="6">
        <f t="shared" si="0"/>
        <v>0</v>
      </c>
      <c r="AT12" s="22">
        <f t="shared" si="1"/>
        <v>0</v>
      </c>
      <c r="AU12" s="6">
        <f t="shared" si="2"/>
        <v>4</v>
      </c>
      <c r="AV12" s="38">
        <f t="shared" si="2"/>
        <v>0</v>
      </c>
    </row>
    <row r="13" spans="2:48" x14ac:dyDescent="0.25">
      <c r="B13" s="5" t="s">
        <v>13</v>
      </c>
      <c r="C13" s="5"/>
      <c r="D13" s="7"/>
      <c r="E13" s="7"/>
      <c r="F13" s="7"/>
      <c r="G13" s="6"/>
      <c r="H13" s="6"/>
      <c r="I13" s="6">
        <v>1</v>
      </c>
      <c r="J13" s="6">
        <v>1</v>
      </c>
      <c r="K13" s="6"/>
      <c r="L13" s="5">
        <v>1</v>
      </c>
      <c r="M13" s="7" t="str">
        <f>"1/2"</f>
        <v>1/2</v>
      </c>
      <c r="N13" s="7" t="str">
        <f>"0/2"</f>
        <v>0/2</v>
      </c>
      <c r="O13" s="7"/>
      <c r="P13" s="6"/>
      <c r="Q13" s="6"/>
      <c r="R13" s="6"/>
      <c r="S13" s="6">
        <v>1</v>
      </c>
      <c r="T13" s="6"/>
      <c r="U13" s="5">
        <v>2</v>
      </c>
      <c r="V13" s="7"/>
      <c r="W13" s="7" t="str">
        <f>"1/1"</f>
        <v>1/1</v>
      </c>
      <c r="X13" s="7"/>
      <c r="Y13" s="6"/>
      <c r="Z13" s="6"/>
      <c r="AA13" s="6">
        <v>1</v>
      </c>
      <c r="AB13" s="6">
        <v>1</v>
      </c>
      <c r="AC13" s="6"/>
      <c r="AD13" s="5"/>
      <c r="AE13" s="7"/>
      <c r="AF13" s="7"/>
      <c r="AG13" s="7"/>
      <c r="AH13" s="6"/>
      <c r="AI13" s="6"/>
      <c r="AJ13" s="6"/>
      <c r="AK13" s="6">
        <v>1</v>
      </c>
      <c r="AL13" s="6"/>
      <c r="AM13" s="15">
        <f>C13+L13+U13+AD13</f>
        <v>3</v>
      </c>
      <c r="AN13" s="19" t="str">
        <f>"1/2"</f>
        <v>1/2</v>
      </c>
      <c r="AO13" s="19" t="str">
        <f>"1/3"</f>
        <v>1/3</v>
      </c>
      <c r="AP13" s="19"/>
      <c r="AQ13" s="33">
        <f t="shared" si="3"/>
        <v>0</v>
      </c>
      <c r="AR13" s="21">
        <f t="shared" si="3"/>
        <v>0</v>
      </c>
      <c r="AS13" s="6">
        <f t="shared" si="0"/>
        <v>2</v>
      </c>
      <c r="AT13" s="22">
        <f t="shared" si="1"/>
        <v>2</v>
      </c>
      <c r="AU13" s="6">
        <f t="shared" si="2"/>
        <v>4</v>
      </c>
      <c r="AV13" s="38">
        <f t="shared" si="2"/>
        <v>0</v>
      </c>
    </row>
    <row r="14" spans="2:48" x14ac:dyDescent="0.25">
      <c r="B14" s="5" t="s">
        <v>4</v>
      </c>
      <c r="C14" s="5">
        <v>3</v>
      </c>
      <c r="D14" s="7" t="str">
        <f>"1/2"</f>
        <v>1/2</v>
      </c>
      <c r="E14" s="7" t="str">
        <f>"1/2"</f>
        <v>1/2</v>
      </c>
      <c r="F14" s="7"/>
      <c r="G14" s="6"/>
      <c r="H14" s="6"/>
      <c r="I14" s="6">
        <v>1</v>
      </c>
      <c r="J14" s="6">
        <v>1</v>
      </c>
      <c r="K14" s="6"/>
      <c r="L14" s="5"/>
      <c r="M14" s="7"/>
      <c r="N14" s="7" t="str">
        <f>"0/1"</f>
        <v>0/1</v>
      </c>
      <c r="O14" s="7"/>
      <c r="P14" s="6"/>
      <c r="Q14" s="6"/>
      <c r="R14" s="6"/>
      <c r="S14" s="6"/>
      <c r="T14" s="6"/>
      <c r="U14" s="5"/>
      <c r="V14" s="7"/>
      <c r="W14" s="7" t="str">
        <f>"0/2"</f>
        <v>0/2</v>
      </c>
      <c r="X14" s="7"/>
      <c r="Y14" s="6"/>
      <c r="Z14" s="6"/>
      <c r="AA14" s="6"/>
      <c r="AB14" s="6">
        <v>1</v>
      </c>
      <c r="AC14" s="6"/>
      <c r="AD14" s="5"/>
      <c r="AE14" s="7"/>
      <c r="AF14" s="7"/>
      <c r="AG14" s="7"/>
      <c r="AH14" s="6"/>
      <c r="AI14" s="6"/>
      <c r="AJ14" s="6"/>
      <c r="AK14" s="6">
        <v>1</v>
      </c>
      <c r="AL14" s="6"/>
      <c r="AM14" s="15">
        <f>C14+L14+U14+AD14</f>
        <v>3</v>
      </c>
      <c r="AN14" s="19" t="str">
        <f>"1/2"</f>
        <v>1/2</v>
      </c>
      <c r="AO14" s="19" t="str">
        <f>"1/5"</f>
        <v>1/5</v>
      </c>
      <c r="AP14" s="19"/>
      <c r="AQ14" s="33">
        <f t="shared" si="3"/>
        <v>0</v>
      </c>
      <c r="AR14" s="21">
        <f t="shared" si="3"/>
        <v>0</v>
      </c>
      <c r="AS14" s="6">
        <f t="shared" si="0"/>
        <v>1</v>
      </c>
      <c r="AT14" s="22">
        <f t="shared" si="1"/>
        <v>1</v>
      </c>
      <c r="AU14" s="6">
        <f t="shared" si="2"/>
        <v>3</v>
      </c>
      <c r="AV14" s="38">
        <f t="shared" si="2"/>
        <v>0</v>
      </c>
    </row>
    <row r="15" spans="2:48" x14ac:dyDescent="0.25">
      <c r="B15" s="5" t="s">
        <v>106</v>
      </c>
      <c r="C15" s="5"/>
      <c r="D15" s="7"/>
      <c r="E15" s="7"/>
      <c r="F15" s="7"/>
      <c r="G15" s="6"/>
      <c r="H15" s="6"/>
      <c r="I15" s="6"/>
      <c r="J15" s="6"/>
      <c r="K15" s="6"/>
      <c r="L15" s="5"/>
      <c r="M15" s="7"/>
      <c r="N15" s="7"/>
      <c r="O15" s="7"/>
      <c r="P15" s="6"/>
      <c r="Q15" s="6"/>
      <c r="R15" s="6"/>
      <c r="S15" s="6"/>
      <c r="T15" s="6"/>
      <c r="U15" s="5"/>
      <c r="V15" s="7"/>
      <c r="W15" s="7"/>
      <c r="X15" s="7"/>
      <c r="Y15" s="6"/>
      <c r="Z15" s="6"/>
      <c r="AA15" s="6"/>
      <c r="AB15" s="6"/>
      <c r="AC15" s="6"/>
      <c r="AD15" s="5"/>
      <c r="AE15" s="7"/>
      <c r="AF15" s="7"/>
      <c r="AG15" s="7"/>
      <c r="AH15" s="6">
        <v>1</v>
      </c>
      <c r="AI15" s="6"/>
      <c r="AJ15" s="6"/>
      <c r="AK15" s="6"/>
      <c r="AL15" s="6"/>
      <c r="AM15" s="15">
        <f>C15+L15+U15+AD15</f>
        <v>0</v>
      </c>
      <c r="AN15" s="19"/>
      <c r="AO15" s="19"/>
      <c r="AP15" s="19"/>
      <c r="AQ15" s="33">
        <f t="shared" si="3"/>
        <v>1</v>
      </c>
      <c r="AR15" s="21">
        <f t="shared" si="3"/>
        <v>0</v>
      </c>
      <c r="AS15" s="6">
        <f t="shared" si="0"/>
        <v>0</v>
      </c>
      <c r="AT15" s="22">
        <f t="shared" si="1"/>
        <v>0</v>
      </c>
      <c r="AU15" s="6">
        <f t="shared" si="2"/>
        <v>0</v>
      </c>
      <c r="AV15" s="38">
        <f t="shared" si="2"/>
        <v>0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3"/>
        <v>0</v>
      </c>
      <c r="AR16" s="21">
        <f t="shared" si="3"/>
        <v>0</v>
      </c>
      <c r="AS16" s="6">
        <f t="shared" si="0"/>
        <v>0</v>
      </c>
      <c r="AT16" s="22">
        <f t="shared" si="1"/>
        <v>0</v>
      </c>
      <c r="AU16" s="6">
        <f t="shared" si="2"/>
        <v>0</v>
      </c>
      <c r="AV16" s="38">
        <f t="shared" si="2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3"/>
        <v>0</v>
      </c>
      <c r="AR17" s="30">
        <f t="shared" si="3"/>
        <v>0</v>
      </c>
      <c r="AS17" s="4">
        <f t="shared" si="0"/>
        <v>0</v>
      </c>
      <c r="AT17" s="31">
        <f t="shared" si="1"/>
        <v>0</v>
      </c>
      <c r="AU17" s="4">
        <f t="shared" si="2"/>
        <v>0</v>
      </c>
      <c r="AV17" s="39">
        <f t="shared" si="2"/>
        <v>0</v>
      </c>
    </row>
    <row r="18" spans="2:48" s="9" customFormat="1" thickBot="1" x14ac:dyDescent="0.25">
      <c r="C18" s="11">
        <f>SUM(C7:C17)</f>
        <v>21</v>
      </c>
      <c r="D18" s="10" t="str">
        <f>"5/9"</f>
        <v>5/9</v>
      </c>
      <c r="E18" s="10" t="str">
        <f>"8/19"</f>
        <v>8/19</v>
      </c>
      <c r="F18" s="10"/>
      <c r="G18" s="9">
        <f>SUM(G7:G17)</f>
        <v>2</v>
      </c>
      <c r="H18" s="9">
        <f t="shared" ref="H18:K18" si="5">SUM(H7:H17)</f>
        <v>7</v>
      </c>
      <c r="I18" s="9">
        <f t="shared" si="5"/>
        <v>6</v>
      </c>
      <c r="J18" s="9">
        <f t="shared" si="5"/>
        <v>4</v>
      </c>
      <c r="K18" s="9">
        <f t="shared" si="5"/>
        <v>0</v>
      </c>
      <c r="L18" s="11">
        <f>SUM(L7:L17)</f>
        <v>12</v>
      </c>
      <c r="M18" s="10" t="str">
        <f>"6/10"</f>
        <v>6/10</v>
      </c>
      <c r="N18" s="10" t="str">
        <f>"3/12"</f>
        <v>3/12</v>
      </c>
      <c r="O18" s="47" t="str">
        <f>"0/2"</f>
        <v>0/2</v>
      </c>
      <c r="P18" s="9">
        <f>SUM(P7:P17)</f>
        <v>1</v>
      </c>
      <c r="Q18" s="9">
        <f t="shared" ref="Q18:T18" si="6">SUM(Q7:Q17)</f>
        <v>6</v>
      </c>
      <c r="R18" s="9">
        <f t="shared" si="6"/>
        <v>0</v>
      </c>
      <c r="S18" s="9">
        <f t="shared" si="6"/>
        <v>7</v>
      </c>
      <c r="T18" s="9">
        <f t="shared" si="6"/>
        <v>4</v>
      </c>
      <c r="U18" s="11">
        <f>SUM(U7:U17)</f>
        <v>12</v>
      </c>
      <c r="V18" s="10" t="str">
        <f>"1/1"</f>
        <v>1/1</v>
      </c>
      <c r="W18" s="10" t="str">
        <f>"4/16"</f>
        <v>4/16</v>
      </c>
      <c r="X18" s="10" t="str">
        <f>"1/1"</f>
        <v>1/1</v>
      </c>
      <c r="Y18" s="9">
        <f>SUM(Y7:Y17)</f>
        <v>0</v>
      </c>
      <c r="Z18" s="9">
        <f t="shared" ref="Z18:AC18" si="7">SUM(Z7:Z17)</f>
        <v>5</v>
      </c>
      <c r="AA18" s="9">
        <f t="shared" si="7"/>
        <v>2</v>
      </c>
      <c r="AB18" s="9">
        <f t="shared" si="7"/>
        <v>7</v>
      </c>
      <c r="AC18" s="9">
        <f t="shared" si="7"/>
        <v>0</v>
      </c>
      <c r="AD18" s="11">
        <f>SUM(AD7:AD17)</f>
        <v>16</v>
      </c>
      <c r="AE18" s="10" t="str">
        <f>"1/6"</f>
        <v>1/6</v>
      </c>
      <c r="AF18" s="10" t="str">
        <f>"6/10"</f>
        <v>6/10</v>
      </c>
      <c r="AG18" s="10" t="str">
        <f>"1/1"</f>
        <v>1/1</v>
      </c>
      <c r="AH18" s="9">
        <f>SUM(AH7:AH17)</f>
        <v>2</v>
      </c>
      <c r="AI18" s="9">
        <f t="shared" ref="AI18:AL18" si="8">SUM(AI7:AI17)</f>
        <v>10</v>
      </c>
      <c r="AJ18" s="9">
        <f t="shared" si="8"/>
        <v>1</v>
      </c>
      <c r="AK18" s="9">
        <f t="shared" si="8"/>
        <v>5</v>
      </c>
      <c r="AL18" s="9">
        <f t="shared" si="8"/>
        <v>1</v>
      </c>
      <c r="AM18" s="12">
        <f>SUM(AM7:AM17)</f>
        <v>61</v>
      </c>
      <c r="AN18" s="13" t="str">
        <f>"13/26"</f>
        <v>13/26</v>
      </c>
      <c r="AO18" s="13" t="str">
        <f>"21/57"</f>
        <v>21/57</v>
      </c>
      <c r="AP18" s="13" t="str">
        <f>"2/4"</f>
        <v>2/4</v>
      </c>
      <c r="AQ18" s="11">
        <f t="shared" ref="AQ18:AV18" si="9">SUM(AQ7:AQ17)</f>
        <v>5</v>
      </c>
      <c r="AR18" s="11">
        <f t="shared" si="9"/>
        <v>28</v>
      </c>
      <c r="AS18" s="11">
        <f t="shared" si="9"/>
        <v>9</v>
      </c>
      <c r="AT18" s="11">
        <f t="shared" si="9"/>
        <v>37</v>
      </c>
      <c r="AU18" s="11">
        <f t="shared" si="9"/>
        <v>23</v>
      </c>
      <c r="AV18" s="11">
        <f t="shared" si="9"/>
        <v>5</v>
      </c>
    </row>
    <row r="19" spans="2:48" s="40" customFormat="1" thickBot="1" x14ac:dyDescent="0.25">
      <c r="B19" s="40" t="s">
        <v>54</v>
      </c>
      <c r="F19" s="67" t="str">
        <f>"16/21"</f>
        <v>16/21</v>
      </c>
      <c r="G19" s="68"/>
      <c r="H19" s="68"/>
      <c r="I19" s="68"/>
      <c r="J19" s="68"/>
      <c r="K19" s="69"/>
      <c r="O19" s="67" t="str">
        <f>"15/12"</f>
        <v>15/12</v>
      </c>
      <c r="P19" s="68"/>
      <c r="Q19" s="68"/>
      <c r="R19" s="68"/>
      <c r="S19" s="68"/>
      <c r="T19" s="69"/>
      <c r="X19" s="67" t="str">
        <f>"15/12"</f>
        <v>15/12</v>
      </c>
      <c r="Y19" s="68"/>
      <c r="Z19" s="68"/>
      <c r="AA19" s="68"/>
      <c r="AB19" s="68"/>
      <c r="AC19" s="69"/>
      <c r="AG19" s="67" t="str">
        <f>"13/16"</f>
        <v>13/16</v>
      </c>
      <c r="AH19" s="68"/>
      <c r="AI19" s="68"/>
      <c r="AJ19" s="68"/>
      <c r="AK19" s="68"/>
      <c r="AL19" s="69"/>
      <c r="AN19" s="14">
        <f>13/26</f>
        <v>0.5</v>
      </c>
      <c r="AO19" s="14">
        <f>21/57</f>
        <v>0.36842105263157893</v>
      </c>
      <c r="AP19" s="14">
        <f>2/4</f>
        <v>0.5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"31/33"</f>
        <v>31/33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"46/45"</f>
        <v>46/45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117</v>
      </c>
      <c r="AM21" s="48">
        <v>36</v>
      </c>
      <c r="AN21" s="42" t="s">
        <v>118</v>
      </c>
      <c r="AO21" s="42" t="s">
        <v>119</v>
      </c>
      <c r="AP21" s="42" t="s">
        <v>120</v>
      </c>
      <c r="AQ21" s="43">
        <v>3</v>
      </c>
      <c r="AR21" s="43">
        <v>26</v>
      </c>
      <c r="AS21" s="43">
        <v>11</v>
      </c>
      <c r="AT21" s="43">
        <v>37</v>
      </c>
      <c r="AU21" s="43">
        <v>26</v>
      </c>
      <c r="AV21" s="43">
        <v>6</v>
      </c>
    </row>
    <row r="22" spans="2:48" x14ac:dyDescent="0.25">
      <c r="C22" s="1" t="s">
        <v>20</v>
      </c>
      <c r="D22" s="1" t="s">
        <v>27</v>
      </c>
      <c r="AN22" s="14">
        <v>0.37037037037037035</v>
      </c>
      <c r="AO22" s="14">
        <v>0.28260869565217389</v>
      </c>
      <c r="AP22" s="14">
        <v>0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113</v>
      </c>
      <c r="AM24" s="48">
        <v>81</v>
      </c>
      <c r="AN24" s="42" t="s">
        <v>114</v>
      </c>
      <c r="AO24" s="42" t="s">
        <v>115</v>
      </c>
      <c r="AP24" s="42" t="s">
        <v>116</v>
      </c>
      <c r="AQ24" s="43">
        <v>9</v>
      </c>
      <c r="AR24" s="43">
        <v>35</v>
      </c>
      <c r="AS24" s="43">
        <v>9</v>
      </c>
      <c r="AT24" s="43">
        <v>44</v>
      </c>
      <c r="AU24" s="43">
        <v>20</v>
      </c>
      <c r="AV24" s="43">
        <v>6</v>
      </c>
    </row>
    <row r="25" spans="2:48" x14ac:dyDescent="0.25">
      <c r="C25" s="40" t="s">
        <v>23</v>
      </c>
      <c r="D25" s="40" t="s">
        <v>31</v>
      </c>
      <c r="E25" s="40"/>
      <c r="AN25" s="14">
        <v>0.5</v>
      </c>
      <c r="AO25" s="14">
        <v>0.51724137931034486</v>
      </c>
      <c r="AP25" s="14">
        <v>0.5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109</v>
      </c>
      <c r="AM27" s="48">
        <v>72</v>
      </c>
      <c r="AN27" s="42" t="s">
        <v>107</v>
      </c>
      <c r="AO27" s="42" t="s">
        <v>108</v>
      </c>
      <c r="AP27" s="42" t="s">
        <v>43</v>
      </c>
      <c r="AQ27" s="43">
        <v>11</v>
      </c>
      <c r="AR27" s="43">
        <v>34</v>
      </c>
      <c r="AS27" s="43">
        <v>18</v>
      </c>
      <c r="AT27" s="43">
        <v>52</v>
      </c>
      <c r="AU27" s="43">
        <v>12</v>
      </c>
      <c r="AV27" s="43">
        <v>5</v>
      </c>
    </row>
    <row r="28" spans="2:48" x14ac:dyDescent="0.25">
      <c r="AN28" s="14">
        <v>0.34482758620689657</v>
      </c>
      <c r="AO28" s="14">
        <v>0.484375</v>
      </c>
      <c r="AP28" s="14">
        <v>0</v>
      </c>
    </row>
    <row r="30" spans="2:48" x14ac:dyDescent="0.25">
      <c r="AG30" s="1" t="s">
        <v>102</v>
      </c>
      <c r="AM30" s="48">
        <v>63</v>
      </c>
      <c r="AN30" s="42" t="s">
        <v>103</v>
      </c>
      <c r="AO30" s="42" t="s">
        <v>104</v>
      </c>
      <c r="AP30" s="42" t="s">
        <v>84</v>
      </c>
      <c r="AQ30" s="43">
        <v>5</v>
      </c>
      <c r="AR30" s="43">
        <v>29</v>
      </c>
      <c r="AS30" s="43">
        <v>23</v>
      </c>
      <c r="AT30" s="43">
        <v>52</v>
      </c>
      <c r="AU30" s="43">
        <v>16</v>
      </c>
      <c r="AV30" s="43">
        <v>12</v>
      </c>
    </row>
    <row r="31" spans="2:48" x14ac:dyDescent="0.25">
      <c r="AN31" s="14">
        <v>0.35294117647058826</v>
      </c>
      <c r="AO31" s="14">
        <v>0.38095238095238093</v>
      </c>
      <c r="AP31" s="14">
        <v>0.5</v>
      </c>
    </row>
    <row r="33" spans="33:48" x14ac:dyDescent="0.25">
      <c r="AG33" s="1" t="s">
        <v>96</v>
      </c>
      <c r="AM33" s="48">
        <v>63</v>
      </c>
      <c r="AN33" s="42" t="s">
        <v>93</v>
      </c>
      <c r="AO33" s="42" t="s">
        <v>94</v>
      </c>
      <c r="AP33" s="42" t="s">
        <v>95</v>
      </c>
      <c r="AQ33" s="43">
        <v>8</v>
      </c>
      <c r="AR33" s="43">
        <v>31</v>
      </c>
      <c r="AS33" s="43">
        <v>16</v>
      </c>
      <c r="AT33" s="43">
        <v>47</v>
      </c>
      <c r="AU33" s="43">
        <v>25</v>
      </c>
      <c r="AV33" s="43">
        <v>11</v>
      </c>
    </row>
    <row r="34" spans="33:48" x14ac:dyDescent="0.25">
      <c r="AN34" s="14">
        <v>0.42105263157894735</v>
      </c>
      <c r="AO34" s="14">
        <v>0.47272727272727272</v>
      </c>
      <c r="AP34" s="14">
        <v>0.1111111111111111</v>
      </c>
    </row>
    <row r="36" spans="33:48" x14ac:dyDescent="0.25">
      <c r="AG36" s="1" t="s">
        <v>87</v>
      </c>
      <c r="AM36" s="48">
        <v>51</v>
      </c>
      <c r="AN36" s="42" t="s">
        <v>88</v>
      </c>
      <c r="AO36" s="42" t="s">
        <v>89</v>
      </c>
      <c r="AP36" s="42" t="s">
        <v>90</v>
      </c>
      <c r="AQ36" s="43">
        <v>5</v>
      </c>
      <c r="AR36" s="43">
        <v>16</v>
      </c>
      <c r="AS36" s="43">
        <v>11</v>
      </c>
      <c r="AT36" s="43">
        <v>27</v>
      </c>
      <c r="AU36" s="43">
        <v>31</v>
      </c>
      <c r="AV36" s="43">
        <v>10</v>
      </c>
    </row>
    <row r="37" spans="33:48" x14ac:dyDescent="0.25">
      <c r="AN37" s="14">
        <v>0.6</v>
      </c>
      <c r="AO37" s="14">
        <v>0.39622641509433965</v>
      </c>
      <c r="AP37" s="14">
        <v>0.25</v>
      </c>
    </row>
    <row r="39" spans="33:48" x14ac:dyDescent="0.25">
      <c r="AG39" s="1" t="s">
        <v>81</v>
      </c>
      <c r="AM39" s="48">
        <v>57</v>
      </c>
      <c r="AN39" s="42" t="s">
        <v>82</v>
      </c>
      <c r="AO39" s="42" t="s">
        <v>83</v>
      </c>
      <c r="AP39" s="42" t="s">
        <v>84</v>
      </c>
      <c r="AQ39" s="43">
        <v>7</v>
      </c>
      <c r="AR39" s="43">
        <v>29</v>
      </c>
      <c r="AS39" s="43">
        <v>13</v>
      </c>
      <c r="AT39" s="43">
        <v>42</v>
      </c>
      <c r="AU39" s="43">
        <v>23</v>
      </c>
      <c r="AV39" s="43">
        <v>9</v>
      </c>
    </row>
    <row r="40" spans="33:48" x14ac:dyDescent="0.25">
      <c r="AN40" s="14">
        <v>0.30769230769230771</v>
      </c>
      <c r="AO40" s="14">
        <v>0.37931034482758619</v>
      </c>
      <c r="AP40" s="14">
        <v>0.5</v>
      </c>
    </row>
    <row r="42" spans="33:48" x14ac:dyDescent="0.25">
      <c r="AG42" s="1" t="s">
        <v>77</v>
      </c>
      <c r="AM42" s="48">
        <v>47</v>
      </c>
      <c r="AN42" s="42" t="s">
        <v>78</v>
      </c>
      <c r="AO42" s="42" t="s">
        <v>79</v>
      </c>
      <c r="AP42" s="42" t="s">
        <v>80</v>
      </c>
      <c r="AQ42" s="43">
        <v>1</v>
      </c>
      <c r="AR42" s="43">
        <v>31</v>
      </c>
      <c r="AS42" s="43">
        <v>5</v>
      </c>
      <c r="AT42" s="43">
        <v>36</v>
      </c>
      <c r="AU42" s="43">
        <v>34</v>
      </c>
      <c r="AV42" s="43">
        <v>10</v>
      </c>
    </row>
    <row r="43" spans="33:48" x14ac:dyDescent="0.25">
      <c r="AN43" s="14">
        <v>0.21428571428571427</v>
      </c>
      <c r="AO43" s="14">
        <v>0.32653061224489793</v>
      </c>
      <c r="AP43" s="14">
        <v>0.44444444444444442</v>
      </c>
    </row>
    <row r="45" spans="33:48" x14ac:dyDescent="0.25">
      <c r="AG45" s="1" t="s">
        <v>70</v>
      </c>
      <c r="AM45" s="48">
        <v>44</v>
      </c>
      <c r="AN45" s="42" t="s">
        <v>71</v>
      </c>
      <c r="AO45" s="42" t="s">
        <v>72</v>
      </c>
      <c r="AP45" s="42" t="s">
        <v>73</v>
      </c>
      <c r="AQ45" s="43">
        <v>3</v>
      </c>
      <c r="AR45" s="43">
        <v>31</v>
      </c>
      <c r="AS45" s="43">
        <v>12</v>
      </c>
      <c r="AT45" s="43">
        <v>43</v>
      </c>
      <c r="AU45" s="43">
        <v>26</v>
      </c>
      <c r="AV45" s="43">
        <v>11</v>
      </c>
    </row>
    <row r="46" spans="33:48" x14ac:dyDescent="0.25">
      <c r="AN46" s="14">
        <v>0.23809523809523808</v>
      </c>
      <c r="AO46" s="14">
        <v>0.26315789473684209</v>
      </c>
      <c r="AP46" s="14">
        <v>0.33333333333333331</v>
      </c>
    </row>
    <row r="48" spans="33:48" x14ac:dyDescent="0.25">
      <c r="AG48" s="1" t="s">
        <v>64</v>
      </c>
      <c r="AM48" s="48">
        <v>38</v>
      </c>
      <c r="AN48" s="42" t="s">
        <v>65</v>
      </c>
      <c r="AO48" s="42" t="s">
        <v>66</v>
      </c>
      <c r="AP48" s="42" t="s">
        <v>52</v>
      </c>
      <c r="AQ48" s="43">
        <v>2</v>
      </c>
      <c r="AR48" s="43">
        <v>20</v>
      </c>
      <c r="AS48" s="43">
        <v>10</v>
      </c>
      <c r="AT48" s="43">
        <v>30</v>
      </c>
      <c r="AU48" s="43">
        <v>24</v>
      </c>
      <c r="AV48" s="43">
        <v>3</v>
      </c>
    </row>
    <row r="49" spans="33:48" x14ac:dyDescent="0.25">
      <c r="AN49" s="14">
        <v>0.23076923076923078</v>
      </c>
      <c r="AO49" s="14">
        <v>0.2857142857142857</v>
      </c>
      <c r="AP49" s="14">
        <v>1</v>
      </c>
    </row>
    <row r="51" spans="33:48" x14ac:dyDescent="0.25">
      <c r="AG51" s="1" t="s">
        <v>58</v>
      </c>
      <c r="AM51" s="48">
        <v>56</v>
      </c>
      <c r="AN51" s="42" t="s">
        <v>59</v>
      </c>
      <c r="AO51" s="42" t="s">
        <v>60</v>
      </c>
      <c r="AP51" s="42" t="s">
        <v>61</v>
      </c>
      <c r="AQ51" s="43">
        <v>5</v>
      </c>
      <c r="AR51" s="43">
        <v>31</v>
      </c>
      <c r="AS51" s="43">
        <v>8</v>
      </c>
      <c r="AT51" s="43">
        <v>39</v>
      </c>
      <c r="AU51" s="43">
        <v>22</v>
      </c>
      <c r="AV51" s="43">
        <v>6</v>
      </c>
    </row>
    <row r="52" spans="33:48" x14ac:dyDescent="0.25">
      <c r="AN52" s="14">
        <v>0.52631578947368418</v>
      </c>
      <c r="AO52" s="14">
        <v>0.40740740740740738</v>
      </c>
      <c r="AP52" s="14">
        <v>0.5</v>
      </c>
    </row>
    <row r="54" spans="33:48" x14ac:dyDescent="0.25">
      <c r="AG54" s="1" t="s">
        <v>53</v>
      </c>
      <c r="AM54" s="48">
        <v>47</v>
      </c>
      <c r="AN54" s="42" t="s">
        <v>49</v>
      </c>
      <c r="AO54" s="42" t="s">
        <v>50</v>
      </c>
      <c r="AP54" s="42" t="s">
        <v>51</v>
      </c>
      <c r="AQ54" s="43">
        <v>5</v>
      </c>
      <c r="AR54" s="43">
        <v>24</v>
      </c>
      <c r="AS54" s="43">
        <v>6</v>
      </c>
      <c r="AT54" s="43">
        <v>30</v>
      </c>
      <c r="AU54" s="43">
        <v>29</v>
      </c>
      <c r="AV54" s="43">
        <v>9</v>
      </c>
    </row>
    <row r="55" spans="33:48" x14ac:dyDescent="0.25">
      <c r="AN55" s="14">
        <v>0.53846153846153844</v>
      </c>
      <c r="AO55" s="14">
        <v>0.33333333333333331</v>
      </c>
      <c r="AP55" s="14">
        <v>0.33333333333333331</v>
      </c>
    </row>
    <row r="57" spans="33:48" x14ac:dyDescent="0.25">
      <c r="AG57" s="1" t="s">
        <v>46</v>
      </c>
      <c r="AM57" s="48">
        <v>33</v>
      </c>
      <c r="AN57" s="42" t="s">
        <v>98</v>
      </c>
      <c r="AO57" s="42" t="s">
        <v>99</v>
      </c>
      <c r="AP57" s="42" t="s">
        <v>52</v>
      </c>
      <c r="AQ57" s="43">
        <v>3</v>
      </c>
      <c r="AR57" s="43">
        <v>16</v>
      </c>
      <c r="AS57" s="43">
        <v>7</v>
      </c>
      <c r="AT57" s="43">
        <v>23</v>
      </c>
      <c r="AU57" s="43">
        <v>37</v>
      </c>
      <c r="AV57" s="43">
        <v>18</v>
      </c>
    </row>
    <row r="58" spans="33:48" x14ac:dyDescent="0.25">
      <c r="AN58" s="14">
        <v>0.5</v>
      </c>
      <c r="AO58" s="14">
        <v>0.28947368421052633</v>
      </c>
      <c r="AP58" s="14">
        <v>1</v>
      </c>
    </row>
  </sheetData>
  <mergeCells count="15">
    <mergeCell ref="L20:N20"/>
    <mergeCell ref="O20:T20"/>
    <mergeCell ref="U20:W20"/>
    <mergeCell ref="X20:AC20"/>
    <mergeCell ref="K2:N2"/>
    <mergeCell ref="W2:X2"/>
    <mergeCell ref="C5:K5"/>
    <mergeCell ref="L5:T5"/>
    <mergeCell ref="U5:AC5"/>
    <mergeCell ref="AM5:AV5"/>
    <mergeCell ref="F19:K19"/>
    <mergeCell ref="O19:T19"/>
    <mergeCell ref="X19:AC19"/>
    <mergeCell ref="AG19:AL19"/>
    <mergeCell ref="AD5:AL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DB534-AF52-48D8-B2EE-DF045D50438D}">
  <sheetPr>
    <tabColor rgb="FF00B050"/>
  </sheetPr>
  <dimension ref="B1:AV61"/>
  <sheetViews>
    <sheetView tabSelected="1" topLeftCell="C2" workbookViewId="0">
      <selection activeCell="AW10" sqref="AW10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5.1406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5.85546875" style="1" customWidth="1"/>
    <col min="39" max="39" width="3.7109375" style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122</v>
      </c>
      <c r="I2" s="40" t="s">
        <v>38</v>
      </c>
      <c r="K2" s="52">
        <v>43212</v>
      </c>
      <c r="L2" s="52"/>
      <c r="M2" s="52"/>
      <c r="N2" s="52"/>
      <c r="Q2" s="45" t="s">
        <v>47</v>
      </c>
      <c r="W2" s="65" t="str">
        <f>"64/79"</f>
        <v>64/79</v>
      </c>
      <c r="X2" s="66"/>
    </row>
    <row r="3" spans="2:48" x14ac:dyDescent="0.25">
      <c r="B3" s="40" t="s">
        <v>36</v>
      </c>
      <c r="C3" s="1" t="s">
        <v>76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/>
      <c r="D7" s="7"/>
      <c r="E7" s="7" t="str">
        <f>"0/3"</f>
        <v>0/3</v>
      </c>
      <c r="F7" s="7"/>
      <c r="G7" s="6">
        <v>1</v>
      </c>
      <c r="H7" s="6">
        <v>1</v>
      </c>
      <c r="I7" s="6">
        <v>1</v>
      </c>
      <c r="J7" s="6"/>
      <c r="K7" s="6"/>
      <c r="L7" s="5">
        <v>2</v>
      </c>
      <c r="M7" s="7"/>
      <c r="N7" s="7" t="str">
        <f>"1/5"</f>
        <v>1/5</v>
      </c>
      <c r="O7" s="7"/>
      <c r="P7" s="6"/>
      <c r="Q7" s="6">
        <v>4</v>
      </c>
      <c r="R7" s="6">
        <v>2</v>
      </c>
      <c r="S7" s="6"/>
      <c r="T7" s="6"/>
      <c r="U7" s="5">
        <v>2</v>
      </c>
      <c r="V7" s="7"/>
      <c r="W7" s="7" t="str">
        <f>"1/4"</f>
        <v>1/4</v>
      </c>
      <c r="X7" s="7"/>
      <c r="Y7" s="6"/>
      <c r="Z7" s="6">
        <v>1</v>
      </c>
      <c r="AA7" s="6">
        <v>1</v>
      </c>
      <c r="AB7" s="6"/>
      <c r="AC7" s="6">
        <v>1</v>
      </c>
      <c r="AD7" s="5"/>
      <c r="AE7" s="7"/>
      <c r="AF7" s="7" t="str">
        <f>"0/3"</f>
        <v>0/3</v>
      </c>
      <c r="AG7" s="7"/>
      <c r="AH7" s="6"/>
      <c r="AI7" s="6"/>
      <c r="AJ7" s="6">
        <v>1</v>
      </c>
      <c r="AK7" s="6"/>
      <c r="AL7" s="6">
        <v>2</v>
      </c>
      <c r="AM7" s="25">
        <f>C7+L7+U7+AD7</f>
        <v>4</v>
      </c>
      <c r="AN7" s="26"/>
      <c r="AO7" s="26" t="str">
        <f>"2/15"</f>
        <v>2/15</v>
      </c>
      <c r="AP7" s="26"/>
      <c r="AQ7" s="32">
        <f t="shared" ref="AQ7:AS17" si="0">G7+P7+Y7+AH7</f>
        <v>1</v>
      </c>
      <c r="AR7" s="28">
        <f>H7+Q7+Z7+AI7</f>
        <v>6</v>
      </c>
      <c r="AS7" s="27">
        <f>I7+R7+AA7+AJ7</f>
        <v>5</v>
      </c>
      <c r="AT7" s="29">
        <f>AR7+AS7</f>
        <v>11</v>
      </c>
      <c r="AU7" s="27">
        <f>J7+S7+AB7+AK7</f>
        <v>0</v>
      </c>
      <c r="AV7" s="37">
        <f>K7+T7+AC7+AL7</f>
        <v>3</v>
      </c>
    </row>
    <row r="8" spans="2:48" x14ac:dyDescent="0.25">
      <c r="B8" s="5" t="s">
        <v>12</v>
      </c>
      <c r="C8" s="5">
        <v>2</v>
      </c>
      <c r="D8" s="7"/>
      <c r="E8" s="7" t="str">
        <f>"1/2"</f>
        <v>1/2</v>
      </c>
      <c r="F8" s="7"/>
      <c r="G8" s="6"/>
      <c r="H8" s="6"/>
      <c r="I8" s="6">
        <v>1</v>
      </c>
      <c r="J8" s="6">
        <v>1</v>
      </c>
      <c r="K8" s="6">
        <v>1</v>
      </c>
      <c r="L8" s="5">
        <v>2</v>
      </c>
      <c r="M8" s="7"/>
      <c r="N8" s="7" t="str">
        <f>"1/3"</f>
        <v>1/3</v>
      </c>
      <c r="O8" s="7" t="str">
        <f>"0/1"</f>
        <v>0/1</v>
      </c>
      <c r="P8" s="6"/>
      <c r="Q8" s="6">
        <v>1</v>
      </c>
      <c r="R8" s="6"/>
      <c r="S8" s="6">
        <v>1</v>
      </c>
      <c r="T8" s="6"/>
      <c r="U8" s="5">
        <v>4</v>
      </c>
      <c r="V8" s="7" t="str">
        <f>"2/4"</f>
        <v>2/4</v>
      </c>
      <c r="W8" s="7" t="str">
        <f>"1/1"</f>
        <v>1/1</v>
      </c>
      <c r="X8" s="7"/>
      <c r="Y8" s="6"/>
      <c r="Z8" s="6">
        <v>1</v>
      </c>
      <c r="AA8" s="6"/>
      <c r="AB8" s="6"/>
      <c r="AC8" s="6"/>
      <c r="AD8" s="5"/>
      <c r="AE8" s="7"/>
      <c r="AF8" s="7"/>
      <c r="AG8" s="7"/>
      <c r="AH8" s="6"/>
      <c r="AI8" s="6"/>
      <c r="AJ8" s="6"/>
      <c r="AK8" s="6"/>
      <c r="AL8" s="6"/>
      <c r="AM8" s="15">
        <f>C8+L8+U8+AD8</f>
        <v>8</v>
      </c>
      <c r="AN8" s="19" t="str">
        <f>"2/4"</f>
        <v>2/4</v>
      </c>
      <c r="AO8" s="19" t="str">
        <f>"3/6"</f>
        <v>3/6</v>
      </c>
      <c r="AP8" s="19" t="str">
        <f>"0/1"</f>
        <v>0/1</v>
      </c>
      <c r="AQ8" s="33">
        <f t="shared" si="0"/>
        <v>0</v>
      </c>
      <c r="AR8" s="21">
        <f>H8+Q8+Z8+AI8</f>
        <v>2</v>
      </c>
      <c r="AS8" s="6">
        <f>I8+R8+AA8+AJ8</f>
        <v>1</v>
      </c>
      <c r="AT8" s="22">
        <f t="shared" ref="AT8:AT17" si="1">AR8+AS8</f>
        <v>3</v>
      </c>
      <c r="AU8" s="6">
        <f>J8+S8+AB8+AK8</f>
        <v>2</v>
      </c>
      <c r="AV8" s="38">
        <f>K8+T8+AC8+AL8</f>
        <v>1</v>
      </c>
    </row>
    <row r="9" spans="2:48" x14ac:dyDescent="0.25">
      <c r="B9" s="5" t="s">
        <v>41</v>
      </c>
      <c r="C9" s="5">
        <v>17</v>
      </c>
      <c r="D9" s="7" t="str">
        <f>"2/4"</f>
        <v>2/4</v>
      </c>
      <c r="E9" s="7" t="str">
        <f>"6/9"</f>
        <v>6/9</v>
      </c>
      <c r="F9" s="7" t="str">
        <f>"1/2"</f>
        <v>1/2</v>
      </c>
      <c r="G9" s="6">
        <v>1</v>
      </c>
      <c r="H9" s="6">
        <v>2</v>
      </c>
      <c r="I9" s="6"/>
      <c r="J9" s="6"/>
      <c r="K9" s="6"/>
      <c r="L9" s="5">
        <v>2</v>
      </c>
      <c r="M9" s="7"/>
      <c r="N9" s="7" t="str">
        <f>"1/2"</f>
        <v>1/2</v>
      </c>
      <c r="O9" s="7"/>
      <c r="P9" s="6"/>
      <c r="Q9" s="6">
        <v>1</v>
      </c>
      <c r="R9" s="6"/>
      <c r="S9" s="6"/>
      <c r="T9" s="6"/>
      <c r="U9" s="5">
        <v>8</v>
      </c>
      <c r="V9" s="7"/>
      <c r="W9" s="7" t="str">
        <f>"4/4"</f>
        <v>4/4</v>
      </c>
      <c r="X9" s="7"/>
      <c r="Y9" s="6"/>
      <c r="Z9" s="6">
        <v>1</v>
      </c>
      <c r="AA9" s="6"/>
      <c r="AB9" s="6"/>
      <c r="AC9" s="6"/>
      <c r="AD9" s="5">
        <v>6</v>
      </c>
      <c r="AE9" s="7" t="str">
        <f>"4/7"</f>
        <v>4/7</v>
      </c>
      <c r="AF9" s="7" t="str">
        <f>"1/2"</f>
        <v>1/2</v>
      </c>
      <c r="AG9" s="7" t="str">
        <f>"0/1"</f>
        <v>0/1</v>
      </c>
      <c r="AH9" s="6"/>
      <c r="AI9" s="6">
        <v>1</v>
      </c>
      <c r="AJ9" s="6"/>
      <c r="AK9" s="6"/>
      <c r="AL9" s="6"/>
      <c r="AM9" s="15">
        <f>C9+L9+U9+AD9</f>
        <v>33</v>
      </c>
      <c r="AN9" s="19" t="str">
        <f>"6/11"</f>
        <v>6/11</v>
      </c>
      <c r="AO9" s="19" t="str">
        <f>"12/17"</f>
        <v>12/17</v>
      </c>
      <c r="AP9" s="19" t="str">
        <f>"1/3"</f>
        <v>1/3</v>
      </c>
      <c r="AQ9" s="33">
        <f>G9+P9+Y9+AH9</f>
        <v>1</v>
      </c>
      <c r="AR9" s="21">
        <f t="shared" si="0"/>
        <v>5</v>
      </c>
      <c r="AS9" s="6">
        <f t="shared" si="0"/>
        <v>0</v>
      </c>
      <c r="AT9" s="22">
        <f t="shared" si="1"/>
        <v>5</v>
      </c>
      <c r="AU9" s="6">
        <f t="shared" ref="AU9:AV17" si="2">J9+S9+AB9+AK9</f>
        <v>0</v>
      </c>
      <c r="AV9" s="38">
        <f t="shared" si="2"/>
        <v>0</v>
      </c>
    </row>
    <row r="10" spans="2:48" x14ac:dyDescent="0.25">
      <c r="B10" s="5" t="s">
        <v>10</v>
      </c>
      <c r="C10" s="5"/>
      <c r="D10" s="7"/>
      <c r="E10" s="7"/>
      <c r="F10" s="7"/>
      <c r="G10" s="6"/>
      <c r="H10" s="6"/>
      <c r="I10" s="6"/>
      <c r="J10" s="6"/>
      <c r="K10" s="6"/>
      <c r="L10" s="5">
        <v>1</v>
      </c>
      <c r="M10" s="7" t="str">
        <f>"1/2"</f>
        <v>1/2</v>
      </c>
      <c r="N10" s="7"/>
      <c r="O10" s="7"/>
      <c r="P10" s="6"/>
      <c r="Q10" s="6"/>
      <c r="R10" s="6"/>
      <c r="S10" s="6"/>
      <c r="T10" s="6"/>
      <c r="U10" s="5"/>
      <c r="V10" s="7"/>
      <c r="W10" s="7" t="str">
        <f>"0/2"</f>
        <v>0/2</v>
      </c>
      <c r="X10" s="7"/>
      <c r="Y10" s="6"/>
      <c r="Z10" s="6"/>
      <c r="AA10" s="6"/>
      <c r="AB10" s="6"/>
      <c r="AC10" s="6"/>
      <c r="AD10" s="5"/>
      <c r="AE10" s="7"/>
      <c r="AF10" s="7"/>
      <c r="AG10" s="7"/>
      <c r="AH10" s="6"/>
      <c r="AI10" s="6"/>
      <c r="AJ10" s="6"/>
      <c r="AK10" s="6"/>
      <c r="AL10" s="6"/>
      <c r="AM10" s="15">
        <f>C10+L10+U10+AD10</f>
        <v>1</v>
      </c>
      <c r="AN10" s="19" t="str">
        <f>"1/2"</f>
        <v>1/2</v>
      </c>
      <c r="AO10" s="19" t="str">
        <f>"0/2"</f>
        <v>0/2</v>
      </c>
      <c r="AP10" s="19"/>
      <c r="AQ10" s="33">
        <f t="shared" ref="AQ10:AR17" si="3">G10+P10+Y10+AH10</f>
        <v>0</v>
      </c>
      <c r="AR10" s="21">
        <f>H10+Q10+Z10+AI10</f>
        <v>0</v>
      </c>
      <c r="AS10" s="6">
        <f t="shared" si="0"/>
        <v>0</v>
      </c>
      <c r="AT10" s="22">
        <f t="shared" si="1"/>
        <v>0</v>
      </c>
      <c r="AU10" s="6">
        <f t="shared" si="2"/>
        <v>0</v>
      </c>
      <c r="AV10" s="38">
        <f t="shared" si="2"/>
        <v>0</v>
      </c>
    </row>
    <row r="11" spans="2:48" x14ac:dyDescent="0.25">
      <c r="B11" s="5" t="s">
        <v>15</v>
      </c>
      <c r="C11" s="5">
        <v>4</v>
      </c>
      <c r="D11" s="7"/>
      <c r="E11" s="7" t="str">
        <f>"2/2"</f>
        <v>2/2</v>
      </c>
      <c r="F11" s="7" t="str">
        <f>"0/1"</f>
        <v>0/1</v>
      </c>
      <c r="G11" s="6"/>
      <c r="H11" s="6"/>
      <c r="I11" s="6"/>
      <c r="J11" s="6">
        <v>2</v>
      </c>
      <c r="K11" s="6"/>
      <c r="L11" s="5">
        <v>4</v>
      </c>
      <c r="M11" s="7" t="str">
        <f>"1/2"</f>
        <v>1/2</v>
      </c>
      <c r="N11" s="7" t="str">
        <f>"0/2"</f>
        <v>0/2</v>
      </c>
      <c r="O11" s="7" t="str">
        <f>"1/2"</f>
        <v>1/2</v>
      </c>
      <c r="P11" s="6"/>
      <c r="Q11" s="6">
        <v>1</v>
      </c>
      <c r="R11" s="6"/>
      <c r="S11" s="6">
        <v>1</v>
      </c>
      <c r="T11" s="6"/>
      <c r="U11" s="5">
        <v>2</v>
      </c>
      <c r="V11" s="7" t="str">
        <f>"0/2"</f>
        <v>0/2</v>
      </c>
      <c r="W11" s="7" t="str">
        <f>"1/2"</f>
        <v>1/2</v>
      </c>
      <c r="X11" s="7"/>
      <c r="Y11" s="6">
        <v>1</v>
      </c>
      <c r="Z11" s="6"/>
      <c r="AA11" s="6"/>
      <c r="AB11" s="6">
        <v>1</v>
      </c>
      <c r="AC11" s="6">
        <v>1</v>
      </c>
      <c r="AD11" s="5">
        <v>6</v>
      </c>
      <c r="AE11" s="7"/>
      <c r="AF11" s="7" t="str">
        <f>"3/3"</f>
        <v>3/3</v>
      </c>
      <c r="AG11" s="7"/>
      <c r="AH11" s="6"/>
      <c r="AI11" s="6">
        <v>1</v>
      </c>
      <c r="AJ11" s="6"/>
      <c r="AK11" s="6">
        <v>1</v>
      </c>
      <c r="AL11" s="6"/>
      <c r="AM11" s="15">
        <f t="shared" ref="AM11:AM12" si="4">C11+L11+U11+AD11</f>
        <v>16</v>
      </c>
      <c r="AN11" s="19" t="str">
        <f>"1/4"</f>
        <v>1/4</v>
      </c>
      <c r="AO11" s="19" t="str">
        <f>"6/9"</f>
        <v>6/9</v>
      </c>
      <c r="AP11" s="19" t="str">
        <f>"1/3"</f>
        <v>1/3</v>
      </c>
      <c r="AQ11" s="33">
        <f t="shared" si="3"/>
        <v>1</v>
      </c>
      <c r="AR11" s="21">
        <f t="shared" si="3"/>
        <v>2</v>
      </c>
      <c r="AS11" s="6">
        <f t="shared" si="0"/>
        <v>0</v>
      </c>
      <c r="AT11" s="22">
        <f t="shared" si="1"/>
        <v>2</v>
      </c>
      <c r="AU11" s="6">
        <f t="shared" si="2"/>
        <v>5</v>
      </c>
      <c r="AV11" s="38">
        <f t="shared" si="2"/>
        <v>1</v>
      </c>
    </row>
    <row r="12" spans="2:48" x14ac:dyDescent="0.25">
      <c r="B12" s="5" t="s">
        <v>68</v>
      </c>
      <c r="C12" s="5"/>
      <c r="D12" s="7"/>
      <c r="E12" s="7"/>
      <c r="F12" s="7"/>
      <c r="G12" s="6"/>
      <c r="H12" s="6"/>
      <c r="I12" s="6"/>
      <c r="J12" s="6"/>
      <c r="K12" s="6">
        <v>1</v>
      </c>
      <c r="L12" s="5"/>
      <c r="M12" s="7"/>
      <c r="N12" s="7" t="str">
        <f>"0/1"</f>
        <v>0/1</v>
      </c>
      <c r="O12" s="7"/>
      <c r="P12" s="6"/>
      <c r="Q12" s="6"/>
      <c r="R12" s="6"/>
      <c r="S12" s="6"/>
      <c r="T12" s="6"/>
      <c r="U12" s="5"/>
      <c r="V12" s="7"/>
      <c r="W12" s="7"/>
      <c r="X12" s="7" t="str">
        <f>"0/1"</f>
        <v>0/1</v>
      </c>
      <c r="Y12" s="6"/>
      <c r="Z12" s="6">
        <v>1</v>
      </c>
      <c r="AA12" s="6"/>
      <c r="AB12" s="6"/>
      <c r="AC12" s="6"/>
      <c r="AD12" s="5"/>
      <c r="AE12" s="7"/>
      <c r="AF12" s="7"/>
      <c r="AG12" s="7" t="str">
        <f>"0/1"</f>
        <v>0/1</v>
      </c>
      <c r="AH12" s="6"/>
      <c r="AI12" s="6"/>
      <c r="AJ12" s="6"/>
      <c r="AK12" s="6"/>
      <c r="AL12" s="6"/>
      <c r="AM12" s="15">
        <f t="shared" si="4"/>
        <v>0</v>
      </c>
      <c r="AN12" s="19"/>
      <c r="AO12" s="19" t="str">
        <f>"0/1"</f>
        <v>0/1</v>
      </c>
      <c r="AP12" s="19" t="str">
        <f>"0/2"</f>
        <v>0/2</v>
      </c>
      <c r="AQ12" s="33">
        <f t="shared" si="3"/>
        <v>0</v>
      </c>
      <c r="AR12" s="21">
        <f t="shared" si="3"/>
        <v>1</v>
      </c>
      <c r="AS12" s="6">
        <f t="shared" si="0"/>
        <v>0</v>
      </c>
      <c r="AT12" s="22">
        <f t="shared" si="1"/>
        <v>1</v>
      </c>
      <c r="AU12" s="6">
        <f t="shared" si="2"/>
        <v>0</v>
      </c>
      <c r="AV12" s="38">
        <f t="shared" si="2"/>
        <v>1</v>
      </c>
    </row>
    <row r="13" spans="2:48" x14ac:dyDescent="0.25">
      <c r="B13" s="5" t="s">
        <v>13</v>
      </c>
      <c r="C13" s="5">
        <v>1</v>
      </c>
      <c r="D13" s="7" t="str">
        <f>"1/2"</f>
        <v>1/2</v>
      </c>
      <c r="E13" s="7"/>
      <c r="F13" s="7"/>
      <c r="G13" s="6">
        <v>1</v>
      </c>
      <c r="H13" s="6"/>
      <c r="I13" s="6"/>
      <c r="J13" s="6"/>
      <c r="K13" s="6"/>
      <c r="L13" s="5"/>
      <c r="M13" s="7"/>
      <c r="N13" s="7"/>
      <c r="O13" s="7"/>
      <c r="P13" s="6"/>
      <c r="Q13" s="6"/>
      <c r="R13" s="6"/>
      <c r="S13" s="6">
        <v>1</v>
      </c>
      <c r="T13" s="6"/>
      <c r="U13" s="5"/>
      <c r="V13" s="7"/>
      <c r="W13" s="7" t="str">
        <f>"0/2"</f>
        <v>0/2</v>
      </c>
      <c r="X13" s="7"/>
      <c r="Y13" s="6"/>
      <c r="Z13" s="6"/>
      <c r="AA13" s="6"/>
      <c r="AB13" s="6">
        <v>1</v>
      </c>
      <c r="AC13" s="6"/>
      <c r="AD13" s="5">
        <v>1</v>
      </c>
      <c r="AE13" s="7" t="str">
        <f>"1/2"</f>
        <v>1/2</v>
      </c>
      <c r="AF13" s="7" t="str">
        <f>"0/1"</f>
        <v>0/1</v>
      </c>
      <c r="AG13" s="7"/>
      <c r="AH13" s="6"/>
      <c r="AI13" s="6"/>
      <c r="AJ13" s="6"/>
      <c r="AK13" s="6">
        <v>1</v>
      </c>
      <c r="AL13" s="6"/>
      <c r="AM13" s="15">
        <f>C13+L13+U13+AD13</f>
        <v>2</v>
      </c>
      <c r="AN13" s="19" t="str">
        <f>"2/4"</f>
        <v>2/4</v>
      </c>
      <c r="AO13" s="19" t="str">
        <f>"0/3"</f>
        <v>0/3</v>
      </c>
      <c r="AP13" s="19"/>
      <c r="AQ13" s="33">
        <f t="shared" si="3"/>
        <v>1</v>
      </c>
      <c r="AR13" s="21">
        <f t="shared" si="3"/>
        <v>0</v>
      </c>
      <c r="AS13" s="6">
        <f t="shared" si="0"/>
        <v>0</v>
      </c>
      <c r="AT13" s="22">
        <f t="shared" si="1"/>
        <v>0</v>
      </c>
      <c r="AU13" s="6">
        <f t="shared" si="2"/>
        <v>3</v>
      </c>
      <c r="AV13" s="38">
        <f t="shared" si="2"/>
        <v>0</v>
      </c>
    </row>
    <row r="14" spans="2:48" x14ac:dyDescent="0.25">
      <c r="B14" s="5" t="s">
        <v>4</v>
      </c>
      <c r="C14" s="5"/>
      <c r="D14" s="7"/>
      <c r="E14" s="7" t="str">
        <f>"0/2"</f>
        <v>0/2</v>
      </c>
      <c r="F14" s="7" t="str">
        <f>"0/1"</f>
        <v>0/1</v>
      </c>
      <c r="G14" s="6"/>
      <c r="H14" s="6"/>
      <c r="I14" s="6"/>
      <c r="J14" s="6"/>
      <c r="K14" s="6"/>
      <c r="L14" s="5"/>
      <c r="M14" s="7"/>
      <c r="N14" s="7" t="str">
        <f>"0/2"</f>
        <v>0/2</v>
      </c>
      <c r="O14" s="7"/>
      <c r="P14" s="6"/>
      <c r="Q14" s="6"/>
      <c r="R14" s="6"/>
      <c r="S14" s="6"/>
      <c r="T14" s="6"/>
      <c r="U14" s="5"/>
      <c r="V14" s="7"/>
      <c r="W14" s="7"/>
      <c r="X14" s="7" t="str">
        <f>"0/1"</f>
        <v>0/1</v>
      </c>
      <c r="Y14" s="6"/>
      <c r="Z14" s="6">
        <v>1</v>
      </c>
      <c r="AA14" s="6"/>
      <c r="AB14" s="6"/>
      <c r="AC14" s="6"/>
      <c r="AD14" s="5"/>
      <c r="AE14" s="7"/>
      <c r="AF14" s="7" t="str">
        <f>"0/2"</f>
        <v>0/2</v>
      </c>
      <c r="AG14" s="7"/>
      <c r="AH14" s="6"/>
      <c r="AI14" s="6">
        <v>1</v>
      </c>
      <c r="AJ14" s="6"/>
      <c r="AK14" s="6"/>
      <c r="AL14" s="6"/>
      <c r="AM14" s="15">
        <f>C14+L14+U14+AD14</f>
        <v>0</v>
      </c>
      <c r="AN14" s="19"/>
      <c r="AO14" s="19" t="str">
        <f>"0/6"</f>
        <v>0/6</v>
      </c>
      <c r="AP14" s="19" t="str">
        <f>"0/2"</f>
        <v>0/2</v>
      </c>
      <c r="AQ14" s="33">
        <f t="shared" si="3"/>
        <v>0</v>
      </c>
      <c r="AR14" s="21">
        <f t="shared" si="3"/>
        <v>2</v>
      </c>
      <c r="AS14" s="6">
        <f t="shared" si="0"/>
        <v>0</v>
      </c>
      <c r="AT14" s="22">
        <f t="shared" si="1"/>
        <v>2</v>
      </c>
      <c r="AU14" s="6">
        <f t="shared" si="2"/>
        <v>0</v>
      </c>
      <c r="AV14" s="38">
        <f t="shared" si="2"/>
        <v>0</v>
      </c>
    </row>
    <row r="15" spans="2:48" x14ac:dyDescent="0.25">
      <c r="B15" s="5" t="s">
        <v>106</v>
      </c>
      <c r="C15" s="5"/>
      <c r="D15" s="7"/>
      <c r="E15" s="7"/>
      <c r="F15" s="7"/>
      <c r="G15" s="6"/>
      <c r="H15" s="6"/>
      <c r="I15" s="6"/>
      <c r="J15" s="6"/>
      <c r="K15" s="6"/>
      <c r="L15" s="5"/>
      <c r="M15" s="7"/>
      <c r="N15" s="7" t="str">
        <f>"0/1"</f>
        <v>0/1</v>
      </c>
      <c r="O15" s="7"/>
      <c r="P15" s="6"/>
      <c r="Q15" s="6"/>
      <c r="R15" s="6"/>
      <c r="S15" s="6"/>
      <c r="T15" s="6"/>
      <c r="U15" s="5"/>
      <c r="V15" s="7"/>
      <c r="W15" s="7"/>
      <c r="X15" s="7"/>
      <c r="Y15" s="6"/>
      <c r="Z15" s="6"/>
      <c r="AA15" s="6"/>
      <c r="AB15" s="6"/>
      <c r="AC15" s="6"/>
      <c r="AD15" s="5"/>
      <c r="AE15" s="7"/>
      <c r="AF15" s="7"/>
      <c r="AG15" s="7"/>
      <c r="AH15" s="6"/>
      <c r="AI15" s="6"/>
      <c r="AJ15" s="6"/>
      <c r="AK15" s="6"/>
      <c r="AL15" s="6"/>
      <c r="AM15" s="15">
        <f>C15+L15+U15+AD15</f>
        <v>0</v>
      </c>
      <c r="AN15" s="19"/>
      <c r="AO15" s="19" t="str">
        <f>"0/1"</f>
        <v>0/1</v>
      </c>
      <c r="AP15" s="19"/>
      <c r="AQ15" s="33">
        <f t="shared" si="3"/>
        <v>0</v>
      </c>
      <c r="AR15" s="21">
        <f t="shared" si="3"/>
        <v>0</v>
      </c>
      <c r="AS15" s="6">
        <f t="shared" si="0"/>
        <v>0</v>
      </c>
      <c r="AT15" s="22">
        <f t="shared" si="1"/>
        <v>0</v>
      </c>
      <c r="AU15" s="6">
        <f t="shared" si="2"/>
        <v>0</v>
      </c>
      <c r="AV15" s="38">
        <f t="shared" si="2"/>
        <v>0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3"/>
        <v>0</v>
      </c>
      <c r="AR16" s="21">
        <f t="shared" si="3"/>
        <v>0</v>
      </c>
      <c r="AS16" s="6">
        <f t="shared" si="0"/>
        <v>0</v>
      </c>
      <c r="AT16" s="22">
        <f t="shared" si="1"/>
        <v>0</v>
      </c>
      <c r="AU16" s="6">
        <f t="shared" si="2"/>
        <v>0</v>
      </c>
      <c r="AV16" s="38">
        <f t="shared" si="2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3"/>
        <v>0</v>
      </c>
      <c r="AR17" s="30">
        <f t="shared" si="3"/>
        <v>0</v>
      </c>
      <c r="AS17" s="4">
        <f t="shared" si="0"/>
        <v>0</v>
      </c>
      <c r="AT17" s="31">
        <f t="shared" si="1"/>
        <v>0</v>
      </c>
      <c r="AU17" s="4">
        <f t="shared" si="2"/>
        <v>0</v>
      </c>
      <c r="AV17" s="39">
        <f t="shared" si="2"/>
        <v>0</v>
      </c>
    </row>
    <row r="18" spans="2:48" s="9" customFormat="1" thickBot="1" x14ac:dyDescent="0.25">
      <c r="C18" s="11">
        <f>SUM(C7:C17)</f>
        <v>24</v>
      </c>
      <c r="D18" s="10" t="str">
        <f>"3/6"</f>
        <v>3/6</v>
      </c>
      <c r="E18" s="10" t="str">
        <f>"9/18"</f>
        <v>9/18</v>
      </c>
      <c r="F18" s="10" t="str">
        <f>"1/4"</f>
        <v>1/4</v>
      </c>
      <c r="G18" s="9">
        <f>SUM(G7:G17)</f>
        <v>3</v>
      </c>
      <c r="H18" s="9">
        <f t="shared" ref="H18:K18" si="5">SUM(H7:H17)</f>
        <v>3</v>
      </c>
      <c r="I18" s="9">
        <f t="shared" si="5"/>
        <v>2</v>
      </c>
      <c r="J18" s="9">
        <f t="shared" si="5"/>
        <v>3</v>
      </c>
      <c r="K18" s="9">
        <f t="shared" si="5"/>
        <v>2</v>
      </c>
      <c r="L18" s="11">
        <f>SUM(L7:L17)</f>
        <v>11</v>
      </c>
      <c r="M18" s="10" t="str">
        <f>"2/4"</f>
        <v>2/4</v>
      </c>
      <c r="N18" s="10" t="str">
        <f>"3/16"</f>
        <v>3/16</v>
      </c>
      <c r="O18" s="47" t="str">
        <f>"1/3"</f>
        <v>1/3</v>
      </c>
      <c r="P18" s="9">
        <f>SUM(P7:P17)</f>
        <v>0</v>
      </c>
      <c r="Q18" s="9">
        <f t="shared" ref="Q18:T18" si="6">SUM(Q7:Q17)</f>
        <v>7</v>
      </c>
      <c r="R18" s="9">
        <f t="shared" si="6"/>
        <v>2</v>
      </c>
      <c r="S18" s="9">
        <f t="shared" si="6"/>
        <v>3</v>
      </c>
      <c r="T18" s="9">
        <f t="shared" si="6"/>
        <v>0</v>
      </c>
      <c r="U18" s="11">
        <f>SUM(U7:U17)</f>
        <v>16</v>
      </c>
      <c r="V18" s="10" t="str">
        <f>"2/6"</f>
        <v>2/6</v>
      </c>
      <c r="W18" s="10" t="str">
        <f>"7/15"</f>
        <v>7/15</v>
      </c>
      <c r="X18" s="10" t="str">
        <f>"0/2"</f>
        <v>0/2</v>
      </c>
      <c r="Y18" s="9">
        <f>SUM(Y7:Y17)</f>
        <v>1</v>
      </c>
      <c r="Z18" s="9">
        <f t="shared" ref="Z18:AC18" si="7">SUM(Z7:Z17)</f>
        <v>5</v>
      </c>
      <c r="AA18" s="9">
        <f t="shared" si="7"/>
        <v>1</v>
      </c>
      <c r="AB18" s="9">
        <f t="shared" si="7"/>
        <v>2</v>
      </c>
      <c r="AC18" s="9">
        <f t="shared" si="7"/>
        <v>2</v>
      </c>
      <c r="AD18" s="11">
        <f>SUM(AD7:AD17)</f>
        <v>13</v>
      </c>
      <c r="AE18" s="10" t="str">
        <f>"5/9"</f>
        <v>5/9</v>
      </c>
      <c r="AF18" s="10" t="str">
        <f>"4/11"</f>
        <v>4/11</v>
      </c>
      <c r="AG18" s="10" t="str">
        <f>"0/2"</f>
        <v>0/2</v>
      </c>
      <c r="AH18" s="9">
        <f>SUM(AH7:AH17)</f>
        <v>0</v>
      </c>
      <c r="AI18" s="9">
        <f t="shared" ref="AI18:AL18" si="8">SUM(AI7:AI17)</f>
        <v>3</v>
      </c>
      <c r="AJ18" s="9">
        <f t="shared" si="8"/>
        <v>1</v>
      </c>
      <c r="AK18" s="9">
        <f t="shared" si="8"/>
        <v>2</v>
      </c>
      <c r="AL18" s="9">
        <f t="shared" si="8"/>
        <v>2</v>
      </c>
      <c r="AM18" s="12">
        <f>SUM(AM7:AM17)</f>
        <v>64</v>
      </c>
      <c r="AN18" s="13" t="str">
        <f>"12/25"</f>
        <v>12/25</v>
      </c>
      <c r="AO18" s="13" t="str">
        <f>"23/60"</f>
        <v>23/60</v>
      </c>
      <c r="AP18" s="13" t="str">
        <f>"2/11"</f>
        <v>2/11</v>
      </c>
      <c r="AQ18" s="11">
        <f t="shared" ref="AQ18:AV18" si="9">SUM(AQ7:AQ17)</f>
        <v>4</v>
      </c>
      <c r="AR18" s="11">
        <f t="shared" si="9"/>
        <v>18</v>
      </c>
      <c r="AS18" s="11">
        <f t="shared" si="9"/>
        <v>6</v>
      </c>
      <c r="AT18" s="11">
        <f t="shared" si="9"/>
        <v>24</v>
      </c>
      <c r="AU18" s="11">
        <f t="shared" si="9"/>
        <v>10</v>
      </c>
      <c r="AV18" s="11">
        <f t="shared" si="9"/>
        <v>6</v>
      </c>
    </row>
    <row r="19" spans="2:48" s="40" customFormat="1" thickBot="1" x14ac:dyDescent="0.25">
      <c r="B19" s="40" t="s">
        <v>54</v>
      </c>
      <c r="F19" s="67" t="str">
        <f>"24/17"</f>
        <v>24/17</v>
      </c>
      <c r="G19" s="68"/>
      <c r="H19" s="68"/>
      <c r="I19" s="68"/>
      <c r="J19" s="68"/>
      <c r="K19" s="69"/>
      <c r="O19" s="67" t="str">
        <f>"11/17"</f>
        <v>11/17</v>
      </c>
      <c r="P19" s="68"/>
      <c r="Q19" s="68"/>
      <c r="R19" s="68"/>
      <c r="S19" s="68"/>
      <c r="T19" s="69"/>
      <c r="X19" s="67" t="str">
        <f>"16/21"</f>
        <v>16/21</v>
      </c>
      <c r="Y19" s="68"/>
      <c r="Z19" s="68"/>
      <c r="AA19" s="68"/>
      <c r="AB19" s="68"/>
      <c r="AC19" s="69"/>
      <c r="AG19" s="67" t="str">
        <f>"13/24"</f>
        <v>13/24</v>
      </c>
      <c r="AH19" s="68"/>
      <c r="AI19" s="68"/>
      <c r="AJ19" s="68"/>
      <c r="AK19" s="68"/>
      <c r="AL19" s="69"/>
      <c r="AM19" s="70" t="s">
        <v>127</v>
      </c>
      <c r="AN19" s="14">
        <f>12/25</f>
        <v>0.48</v>
      </c>
      <c r="AO19" s="14">
        <f>23/60</f>
        <v>0.38333333333333336</v>
      </c>
      <c r="AP19" s="14">
        <f>2/11</f>
        <v>0.18181818181818182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"35/34"</f>
        <v>35/34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"51/55"</f>
        <v>51/55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126</v>
      </c>
      <c r="AL21" s="71" t="s">
        <v>128</v>
      </c>
      <c r="AM21" s="48">
        <v>61</v>
      </c>
      <c r="AN21" s="42" t="s">
        <v>123</v>
      </c>
      <c r="AO21" s="42" t="s">
        <v>124</v>
      </c>
      <c r="AP21" s="42" t="s">
        <v>125</v>
      </c>
      <c r="AQ21" s="43">
        <v>5</v>
      </c>
      <c r="AR21" s="43">
        <v>28</v>
      </c>
      <c r="AS21" s="43">
        <v>9</v>
      </c>
      <c r="AT21" s="43">
        <v>37</v>
      </c>
      <c r="AU21" s="43">
        <v>23</v>
      </c>
      <c r="AV21" s="43">
        <v>5</v>
      </c>
    </row>
    <row r="22" spans="2:48" x14ac:dyDescent="0.25">
      <c r="C22" s="1" t="s">
        <v>20</v>
      </c>
      <c r="D22" s="1" t="s">
        <v>27</v>
      </c>
      <c r="AN22" s="14">
        <v>0.5</v>
      </c>
      <c r="AO22" s="14">
        <v>0.36842105263157893</v>
      </c>
      <c r="AP22" s="14">
        <v>0.5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117</v>
      </c>
      <c r="AL24" s="70" t="s">
        <v>127</v>
      </c>
      <c r="AM24" s="48">
        <v>36</v>
      </c>
      <c r="AN24" s="42" t="s">
        <v>118</v>
      </c>
      <c r="AO24" s="42" t="s">
        <v>119</v>
      </c>
      <c r="AP24" s="42" t="s">
        <v>120</v>
      </c>
      <c r="AQ24" s="43">
        <v>3</v>
      </c>
      <c r="AR24" s="43">
        <v>26</v>
      </c>
      <c r="AS24" s="43">
        <v>11</v>
      </c>
      <c r="AT24" s="43">
        <v>37</v>
      </c>
      <c r="AU24" s="43">
        <v>26</v>
      </c>
      <c r="AV24" s="43">
        <v>6</v>
      </c>
    </row>
    <row r="25" spans="2:48" x14ac:dyDescent="0.25">
      <c r="C25" s="40" t="s">
        <v>23</v>
      </c>
      <c r="D25" s="40" t="s">
        <v>31</v>
      </c>
      <c r="E25" s="40"/>
      <c r="AN25" s="14">
        <v>0.37037037037037035</v>
      </c>
      <c r="AO25" s="14">
        <v>0.28260869565217389</v>
      </c>
      <c r="AP25" s="14">
        <v>0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113</v>
      </c>
      <c r="AL27" s="71" t="s">
        <v>128</v>
      </c>
      <c r="AM27" s="48">
        <v>81</v>
      </c>
      <c r="AN27" s="42" t="s">
        <v>114</v>
      </c>
      <c r="AO27" s="42" t="s">
        <v>115</v>
      </c>
      <c r="AP27" s="42" t="s">
        <v>116</v>
      </c>
      <c r="AQ27" s="43">
        <v>9</v>
      </c>
      <c r="AR27" s="43">
        <v>35</v>
      </c>
      <c r="AS27" s="43">
        <v>9</v>
      </c>
      <c r="AT27" s="43">
        <v>44</v>
      </c>
      <c r="AU27" s="43">
        <v>20</v>
      </c>
      <c r="AV27" s="43">
        <v>6</v>
      </c>
    </row>
    <row r="28" spans="2:48" x14ac:dyDescent="0.25">
      <c r="AN28" s="14">
        <v>0.5</v>
      </c>
      <c r="AO28" s="14">
        <v>0.51724137931034486</v>
      </c>
      <c r="AP28" s="14">
        <v>0.5</v>
      </c>
    </row>
    <row r="30" spans="2:48" x14ac:dyDescent="0.25">
      <c r="AG30" s="1" t="s">
        <v>109</v>
      </c>
      <c r="AL30" s="71" t="s">
        <v>128</v>
      </c>
      <c r="AM30" s="48">
        <v>72</v>
      </c>
      <c r="AN30" s="42" t="s">
        <v>107</v>
      </c>
      <c r="AO30" s="42" t="s">
        <v>108</v>
      </c>
      <c r="AP30" s="42" t="s">
        <v>43</v>
      </c>
      <c r="AQ30" s="43">
        <v>11</v>
      </c>
      <c r="AR30" s="43">
        <v>34</v>
      </c>
      <c r="AS30" s="43">
        <v>18</v>
      </c>
      <c r="AT30" s="43">
        <v>52</v>
      </c>
      <c r="AU30" s="43">
        <v>12</v>
      </c>
      <c r="AV30" s="43">
        <v>5</v>
      </c>
    </row>
    <row r="31" spans="2:48" x14ac:dyDescent="0.25">
      <c r="AN31" s="14">
        <v>0.34482758620689657</v>
      </c>
      <c r="AO31" s="14">
        <v>0.484375</v>
      </c>
      <c r="AP31" s="14">
        <v>0</v>
      </c>
    </row>
    <row r="33" spans="33:48" x14ac:dyDescent="0.25">
      <c r="AG33" s="1" t="s">
        <v>102</v>
      </c>
      <c r="AL33" s="71" t="s">
        <v>128</v>
      </c>
      <c r="AM33" s="48">
        <v>63</v>
      </c>
      <c r="AN33" s="42" t="s">
        <v>103</v>
      </c>
      <c r="AO33" s="42" t="s">
        <v>104</v>
      </c>
      <c r="AP33" s="42" t="s">
        <v>84</v>
      </c>
      <c r="AQ33" s="43">
        <v>5</v>
      </c>
      <c r="AR33" s="43">
        <v>29</v>
      </c>
      <c r="AS33" s="43">
        <v>23</v>
      </c>
      <c r="AT33" s="43">
        <v>52</v>
      </c>
      <c r="AU33" s="43">
        <v>16</v>
      </c>
      <c r="AV33" s="43">
        <v>12</v>
      </c>
    </row>
    <row r="34" spans="33:48" x14ac:dyDescent="0.25">
      <c r="AN34" s="14">
        <v>0.35294117647058826</v>
      </c>
      <c r="AO34" s="14">
        <v>0.38095238095238093</v>
      </c>
      <c r="AP34" s="14">
        <v>0.5</v>
      </c>
    </row>
    <row r="36" spans="33:48" x14ac:dyDescent="0.25">
      <c r="AG36" s="1" t="s">
        <v>96</v>
      </c>
      <c r="AL36" s="70" t="s">
        <v>127</v>
      </c>
      <c r="AM36" s="48">
        <v>63</v>
      </c>
      <c r="AN36" s="42" t="s">
        <v>93</v>
      </c>
      <c r="AO36" s="42" t="s">
        <v>94</v>
      </c>
      <c r="AP36" s="42" t="s">
        <v>95</v>
      </c>
      <c r="AQ36" s="43">
        <v>8</v>
      </c>
      <c r="AR36" s="43">
        <v>31</v>
      </c>
      <c r="AS36" s="43">
        <v>16</v>
      </c>
      <c r="AT36" s="43">
        <v>47</v>
      </c>
      <c r="AU36" s="43">
        <v>25</v>
      </c>
      <c r="AV36" s="43">
        <v>11</v>
      </c>
    </row>
    <row r="37" spans="33:48" x14ac:dyDescent="0.25">
      <c r="AN37" s="14">
        <v>0.42105263157894735</v>
      </c>
      <c r="AO37" s="14">
        <v>0.47272727272727272</v>
      </c>
      <c r="AP37" s="14">
        <v>0.1111111111111111</v>
      </c>
    </row>
    <row r="39" spans="33:48" x14ac:dyDescent="0.25">
      <c r="AG39" s="1" t="s">
        <v>129</v>
      </c>
      <c r="AL39" s="70" t="s">
        <v>127</v>
      </c>
      <c r="AM39" s="48">
        <v>51</v>
      </c>
      <c r="AN39" s="42" t="s">
        <v>88</v>
      </c>
      <c r="AO39" s="42" t="s">
        <v>89</v>
      </c>
      <c r="AP39" s="42" t="s">
        <v>90</v>
      </c>
      <c r="AQ39" s="43">
        <v>5</v>
      </c>
      <c r="AR39" s="43">
        <v>16</v>
      </c>
      <c r="AS39" s="43">
        <v>11</v>
      </c>
      <c r="AT39" s="43">
        <v>27</v>
      </c>
      <c r="AU39" s="43">
        <v>31</v>
      </c>
      <c r="AV39" s="43">
        <v>10</v>
      </c>
    </row>
    <row r="40" spans="33:48" x14ac:dyDescent="0.25">
      <c r="AN40" s="14">
        <v>0.6</v>
      </c>
      <c r="AO40" s="14">
        <v>0.39622641509433965</v>
      </c>
      <c r="AP40" s="14">
        <v>0.25</v>
      </c>
    </row>
    <row r="42" spans="33:48" x14ac:dyDescent="0.25">
      <c r="AG42" s="1" t="s">
        <v>81</v>
      </c>
      <c r="AL42" s="71" t="s">
        <v>128</v>
      </c>
      <c r="AM42" s="48">
        <v>57</v>
      </c>
      <c r="AN42" s="42" t="s">
        <v>82</v>
      </c>
      <c r="AO42" s="42" t="s">
        <v>83</v>
      </c>
      <c r="AP42" s="42" t="s">
        <v>84</v>
      </c>
      <c r="AQ42" s="43">
        <v>7</v>
      </c>
      <c r="AR42" s="43">
        <v>29</v>
      </c>
      <c r="AS42" s="43">
        <v>13</v>
      </c>
      <c r="AT42" s="43">
        <v>42</v>
      </c>
      <c r="AU42" s="43">
        <v>23</v>
      </c>
      <c r="AV42" s="43">
        <v>9</v>
      </c>
    </row>
    <row r="43" spans="33:48" x14ac:dyDescent="0.25">
      <c r="AN43" s="14">
        <v>0.30769230769230771</v>
      </c>
      <c r="AO43" s="14">
        <v>0.37931034482758619</v>
      </c>
      <c r="AP43" s="14">
        <v>0.5</v>
      </c>
    </row>
    <row r="45" spans="33:48" x14ac:dyDescent="0.25">
      <c r="AG45" s="1" t="s">
        <v>77</v>
      </c>
      <c r="AL45" s="70" t="s">
        <v>127</v>
      </c>
      <c r="AM45" s="48">
        <v>47</v>
      </c>
      <c r="AN45" s="42" t="s">
        <v>78</v>
      </c>
      <c r="AO45" s="42" t="s">
        <v>79</v>
      </c>
      <c r="AP45" s="42" t="s">
        <v>80</v>
      </c>
      <c r="AQ45" s="43">
        <v>1</v>
      </c>
      <c r="AR45" s="43">
        <v>31</v>
      </c>
      <c r="AS45" s="43">
        <v>5</v>
      </c>
      <c r="AT45" s="43">
        <v>36</v>
      </c>
      <c r="AU45" s="43">
        <v>34</v>
      </c>
      <c r="AV45" s="43">
        <v>10</v>
      </c>
    </row>
    <row r="46" spans="33:48" x14ac:dyDescent="0.25">
      <c r="AN46" s="14">
        <v>0.21428571428571427</v>
      </c>
      <c r="AO46" s="14">
        <v>0.32653061224489793</v>
      </c>
      <c r="AP46" s="14">
        <v>0.44444444444444442</v>
      </c>
    </row>
    <row r="48" spans="33:48" x14ac:dyDescent="0.25">
      <c r="AG48" s="1" t="s">
        <v>70</v>
      </c>
      <c r="AL48" s="70" t="s">
        <v>127</v>
      </c>
      <c r="AM48" s="48">
        <v>44</v>
      </c>
      <c r="AN48" s="42" t="s">
        <v>71</v>
      </c>
      <c r="AO48" s="42" t="s">
        <v>72</v>
      </c>
      <c r="AP48" s="42" t="s">
        <v>73</v>
      </c>
      <c r="AQ48" s="43">
        <v>3</v>
      </c>
      <c r="AR48" s="43">
        <v>31</v>
      </c>
      <c r="AS48" s="43">
        <v>12</v>
      </c>
      <c r="AT48" s="43">
        <v>43</v>
      </c>
      <c r="AU48" s="43">
        <v>26</v>
      </c>
      <c r="AV48" s="43">
        <v>11</v>
      </c>
    </row>
    <row r="49" spans="33:48" x14ac:dyDescent="0.25">
      <c r="AN49" s="14">
        <v>0.23809523809523808</v>
      </c>
      <c r="AO49" s="14">
        <v>0.26315789473684209</v>
      </c>
      <c r="AP49" s="14">
        <v>0.33333333333333331</v>
      </c>
    </row>
    <row r="51" spans="33:48" x14ac:dyDescent="0.25">
      <c r="AG51" s="1" t="s">
        <v>64</v>
      </c>
      <c r="AL51" s="70" t="s">
        <v>127</v>
      </c>
      <c r="AM51" s="48">
        <v>38</v>
      </c>
      <c r="AN51" s="42" t="s">
        <v>65</v>
      </c>
      <c r="AO51" s="42" t="s">
        <v>66</v>
      </c>
      <c r="AP51" s="42" t="s">
        <v>52</v>
      </c>
      <c r="AQ51" s="43">
        <v>2</v>
      </c>
      <c r="AR51" s="43">
        <v>20</v>
      </c>
      <c r="AS51" s="43">
        <v>10</v>
      </c>
      <c r="AT51" s="43">
        <v>30</v>
      </c>
      <c r="AU51" s="43">
        <v>24</v>
      </c>
      <c r="AV51" s="43">
        <v>3</v>
      </c>
    </row>
    <row r="52" spans="33:48" x14ac:dyDescent="0.25">
      <c r="AN52" s="14">
        <v>0.23076923076923078</v>
      </c>
      <c r="AO52" s="14">
        <v>0.2857142857142857</v>
      </c>
      <c r="AP52" s="14">
        <v>1</v>
      </c>
    </row>
    <row r="54" spans="33:48" x14ac:dyDescent="0.25">
      <c r="AG54" s="1" t="s">
        <v>58</v>
      </c>
      <c r="AL54" s="70" t="s">
        <v>127</v>
      </c>
      <c r="AM54" s="48">
        <v>56</v>
      </c>
      <c r="AN54" s="42" t="s">
        <v>59</v>
      </c>
      <c r="AO54" s="42" t="s">
        <v>60</v>
      </c>
      <c r="AP54" s="42" t="s">
        <v>61</v>
      </c>
      <c r="AQ54" s="43">
        <v>5</v>
      </c>
      <c r="AR54" s="43">
        <v>31</v>
      </c>
      <c r="AS54" s="43">
        <v>8</v>
      </c>
      <c r="AT54" s="43">
        <v>39</v>
      </c>
      <c r="AU54" s="43">
        <v>22</v>
      </c>
      <c r="AV54" s="43">
        <v>6</v>
      </c>
    </row>
    <row r="55" spans="33:48" x14ac:dyDescent="0.25">
      <c r="AN55" s="14">
        <v>0.52631578947368418</v>
      </c>
      <c r="AO55" s="14">
        <v>0.40740740740740738</v>
      </c>
      <c r="AP55" s="14">
        <v>0.5</v>
      </c>
    </row>
    <row r="57" spans="33:48" x14ac:dyDescent="0.25">
      <c r="AG57" s="1" t="s">
        <v>53</v>
      </c>
      <c r="AL57" s="70" t="s">
        <v>127</v>
      </c>
      <c r="AM57" s="48">
        <v>47</v>
      </c>
      <c r="AN57" s="42" t="s">
        <v>49</v>
      </c>
      <c r="AO57" s="42" t="s">
        <v>50</v>
      </c>
      <c r="AP57" s="42" t="s">
        <v>51</v>
      </c>
      <c r="AQ57" s="43">
        <v>5</v>
      </c>
      <c r="AR57" s="43">
        <v>24</v>
      </c>
      <c r="AS57" s="43">
        <v>6</v>
      </c>
      <c r="AT57" s="43">
        <v>30</v>
      </c>
      <c r="AU57" s="43">
        <v>29</v>
      </c>
      <c r="AV57" s="43">
        <v>9</v>
      </c>
    </row>
    <row r="58" spans="33:48" x14ac:dyDescent="0.25">
      <c r="AN58" s="14">
        <v>0.53846153846153844</v>
      </c>
      <c r="AO58" s="14">
        <v>0.33333333333333331</v>
      </c>
      <c r="AP58" s="14">
        <v>0.33333333333333331</v>
      </c>
    </row>
    <row r="60" spans="33:48" x14ac:dyDescent="0.25">
      <c r="AG60" s="1" t="s">
        <v>46</v>
      </c>
      <c r="AL60" s="70" t="s">
        <v>127</v>
      </c>
      <c r="AM60" s="48">
        <v>33</v>
      </c>
      <c r="AN60" s="42" t="s">
        <v>98</v>
      </c>
      <c r="AO60" s="42" t="s">
        <v>99</v>
      </c>
      <c r="AP60" s="42" t="s">
        <v>52</v>
      </c>
      <c r="AQ60" s="43">
        <v>3</v>
      </c>
      <c r="AR60" s="43">
        <v>16</v>
      </c>
      <c r="AS60" s="43">
        <v>7</v>
      </c>
      <c r="AT60" s="43">
        <v>23</v>
      </c>
      <c r="AU60" s="43">
        <v>37</v>
      </c>
      <c r="AV60" s="43">
        <v>18</v>
      </c>
    </row>
    <row r="61" spans="33:48" x14ac:dyDescent="0.25">
      <c r="AN61" s="14">
        <v>0.5</v>
      </c>
      <c r="AO61" s="14">
        <v>0.28947368421052633</v>
      </c>
      <c r="AP61" s="14">
        <v>1</v>
      </c>
    </row>
  </sheetData>
  <mergeCells count="15">
    <mergeCell ref="AM5:AV5"/>
    <mergeCell ref="F19:K19"/>
    <mergeCell ref="O19:T19"/>
    <mergeCell ref="X19:AC19"/>
    <mergeCell ref="AG19:AL19"/>
    <mergeCell ref="L20:N20"/>
    <mergeCell ref="O20:T20"/>
    <mergeCell ref="U20:W20"/>
    <mergeCell ref="X20:AC20"/>
    <mergeCell ref="K2:N2"/>
    <mergeCell ref="W2:X2"/>
    <mergeCell ref="C5:K5"/>
    <mergeCell ref="L5:T5"/>
    <mergeCell ref="U5:AC5"/>
    <mergeCell ref="AD5:A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V27"/>
  <sheetViews>
    <sheetView workbookViewId="0">
      <selection activeCell="AR26" sqref="AR26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6" width="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1406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4.425781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3.28515625" style="1" bestFit="1" customWidth="1"/>
    <col min="39" max="39" width="3.7109375" style="1" bestFit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39</v>
      </c>
      <c r="I2" s="40" t="s">
        <v>38</v>
      </c>
      <c r="K2" s="52">
        <v>43051</v>
      </c>
      <c r="L2" s="52"/>
      <c r="M2" s="52"/>
      <c r="N2" s="52"/>
      <c r="Q2" s="45" t="s">
        <v>47</v>
      </c>
      <c r="W2" s="55" t="str">
        <f>"47/82"</f>
        <v>47/82</v>
      </c>
      <c r="X2" s="56"/>
    </row>
    <row r="3" spans="2:48" x14ac:dyDescent="0.25">
      <c r="B3" s="40" t="s">
        <v>36</v>
      </c>
      <c r="C3" s="1" t="s">
        <v>37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24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>
        <v>4</v>
      </c>
      <c r="D7" s="7"/>
      <c r="E7" s="7">
        <v>0.66666666666666663</v>
      </c>
      <c r="F7" s="7"/>
      <c r="G7" s="6"/>
      <c r="H7" s="6">
        <v>1</v>
      </c>
      <c r="I7" s="6"/>
      <c r="J7" s="6"/>
      <c r="K7" s="6"/>
      <c r="L7" s="5"/>
      <c r="M7" s="7"/>
      <c r="N7" s="7" t="s">
        <v>42</v>
      </c>
      <c r="O7" s="7"/>
      <c r="P7" s="6"/>
      <c r="Q7" s="6"/>
      <c r="R7" s="6"/>
      <c r="S7" s="6"/>
      <c r="T7" s="6"/>
      <c r="U7" s="5">
        <v>1</v>
      </c>
      <c r="V7" s="7" t="str">
        <f>"1/1"</f>
        <v>1/1</v>
      </c>
      <c r="W7" s="7" t="s">
        <v>43</v>
      </c>
      <c r="X7" s="7" t="s">
        <v>43</v>
      </c>
      <c r="Y7" s="6"/>
      <c r="Z7" s="6">
        <v>1</v>
      </c>
      <c r="AA7" s="6"/>
      <c r="AB7" s="6"/>
      <c r="AC7" s="6">
        <v>1</v>
      </c>
      <c r="AD7" s="5">
        <v>8</v>
      </c>
      <c r="AE7" s="7"/>
      <c r="AF7" s="7">
        <v>0.5714285714285714</v>
      </c>
      <c r="AG7" s="7"/>
      <c r="AH7" s="6">
        <v>1</v>
      </c>
      <c r="AI7" s="6">
        <v>4</v>
      </c>
      <c r="AJ7" s="6">
        <v>2</v>
      </c>
      <c r="AK7" s="6">
        <v>1</v>
      </c>
      <c r="AL7" s="6">
        <v>1</v>
      </c>
      <c r="AM7" s="25">
        <f>C7+L7+U7+AD7</f>
        <v>13</v>
      </c>
      <c r="AN7" s="26" t="str">
        <f>"1/1"</f>
        <v>1/1</v>
      </c>
      <c r="AO7" s="26" t="str">
        <f>"6/14"</f>
        <v>6/14</v>
      </c>
      <c r="AP7" s="26" t="str">
        <f>"0/1"</f>
        <v>0/1</v>
      </c>
      <c r="AQ7" s="32">
        <f>G7+P7+Y7+AH7</f>
        <v>1</v>
      </c>
      <c r="AR7" s="28">
        <f>H7+Q7+Z7+AI7</f>
        <v>6</v>
      </c>
      <c r="AS7" s="27">
        <f t="shared" ref="AS7:AS17" si="0">I7+R7+AA7+AJ7</f>
        <v>2</v>
      </c>
      <c r="AT7" s="29">
        <f>AR7+AS7</f>
        <v>8</v>
      </c>
      <c r="AU7" s="27">
        <f>J7+S7+AB7+AK7</f>
        <v>1</v>
      </c>
      <c r="AV7" s="37">
        <f>K7+T7+AC7+AL7</f>
        <v>2</v>
      </c>
    </row>
    <row r="8" spans="2:48" x14ac:dyDescent="0.25">
      <c r="B8" s="5" t="s">
        <v>12</v>
      </c>
      <c r="C8" s="5">
        <v>2</v>
      </c>
      <c r="D8" s="7"/>
      <c r="E8" s="7">
        <v>0.5</v>
      </c>
      <c r="F8" s="7" t="s">
        <v>43</v>
      </c>
      <c r="G8" s="6"/>
      <c r="H8" s="6">
        <v>3</v>
      </c>
      <c r="I8" s="6"/>
      <c r="J8" s="6"/>
      <c r="K8" s="6"/>
      <c r="L8" s="5">
        <v>4</v>
      </c>
      <c r="M8" s="7" t="str">
        <f>"2/2"</f>
        <v>2/2</v>
      </c>
      <c r="N8" s="7">
        <v>0.33333333333333331</v>
      </c>
      <c r="O8" s="7"/>
      <c r="P8" s="6"/>
      <c r="Q8" s="6">
        <v>1</v>
      </c>
      <c r="R8" s="6"/>
      <c r="S8" s="6">
        <v>1</v>
      </c>
      <c r="T8" s="6">
        <v>2</v>
      </c>
      <c r="U8" s="5">
        <v>2</v>
      </c>
      <c r="V8" s="7"/>
      <c r="W8" s="7">
        <v>0.25</v>
      </c>
      <c r="X8" s="7"/>
      <c r="Y8" s="6"/>
      <c r="Z8" s="6">
        <v>3</v>
      </c>
      <c r="AA8" s="6">
        <v>2</v>
      </c>
      <c r="AB8" s="6"/>
      <c r="AC8" s="6">
        <v>1</v>
      </c>
      <c r="AD8" s="5">
        <v>2</v>
      </c>
      <c r="AE8" s="7"/>
      <c r="AF8" s="7" t="str">
        <f>"1/1"</f>
        <v>1/1</v>
      </c>
      <c r="AG8" s="7"/>
      <c r="AH8" s="6"/>
      <c r="AI8" s="6">
        <v>1</v>
      </c>
      <c r="AJ8" s="6">
        <v>1</v>
      </c>
      <c r="AK8" s="6"/>
      <c r="AL8" s="6"/>
      <c r="AM8" s="15">
        <f>C8+L8+U8+AD8</f>
        <v>10</v>
      </c>
      <c r="AN8" s="19" t="str">
        <f>"2/2"</f>
        <v>2/2</v>
      </c>
      <c r="AO8" s="19" t="str">
        <f>"4/10"</f>
        <v>4/10</v>
      </c>
      <c r="AP8" s="19" t="s">
        <v>43</v>
      </c>
      <c r="AQ8" s="33">
        <f t="shared" ref="AQ8:AR17" si="1">G8+P8+Y8+AH8</f>
        <v>0</v>
      </c>
      <c r="AR8" s="21">
        <f t="shared" si="1"/>
        <v>8</v>
      </c>
      <c r="AS8" s="6">
        <f t="shared" si="0"/>
        <v>3</v>
      </c>
      <c r="AT8" s="22">
        <f t="shared" ref="AT8:AT17" si="2">AR8+AS8</f>
        <v>11</v>
      </c>
      <c r="AU8" s="6">
        <f t="shared" ref="AU8:AV17" si="3">J8+S8+AB8+AK8</f>
        <v>1</v>
      </c>
      <c r="AV8" s="38">
        <f t="shared" si="3"/>
        <v>3</v>
      </c>
    </row>
    <row r="9" spans="2:48" x14ac:dyDescent="0.25">
      <c r="B9" s="5" t="s">
        <v>41</v>
      </c>
      <c r="C9" s="5"/>
      <c r="D9" s="7"/>
      <c r="E9" s="7" t="s">
        <v>43</v>
      </c>
      <c r="F9" s="7" t="s">
        <v>44</v>
      </c>
      <c r="G9" s="6">
        <v>1</v>
      </c>
      <c r="H9" s="6"/>
      <c r="I9" s="6"/>
      <c r="J9" s="6">
        <v>1</v>
      </c>
      <c r="K9" s="6">
        <v>1</v>
      </c>
      <c r="L9" s="5">
        <v>2</v>
      </c>
      <c r="M9" s="7"/>
      <c r="N9" s="7">
        <v>0.25</v>
      </c>
      <c r="O9" s="7"/>
      <c r="P9" s="6"/>
      <c r="Q9" s="6"/>
      <c r="R9" s="6"/>
      <c r="S9" s="6"/>
      <c r="T9" s="6">
        <v>1</v>
      </c>
      <c r="U9" s="5">
        <v>2</v>
      </c>
      <c r="V9" s="7"/>
      <c r="W9" s="7">
        <v>0.33333333333333331</v>
      </c>
      <c r="X9" s="7"/>
      <c r="Y9" s="6"/>
      <c r="Z9" s="6">
        <v>3</v>
      </c>
      <c r="AA9" s="6">
        <v>1</v>
      </c>
      <c r="AB9" s="6">
        <v>5</v>
      </c>
      <c r="AC9" s="6"/>
      <c r="AD9" s="5">
        <v>7</v>
      </c>
      <c r="AE9" s="7"/>
      <c r="AF9" s="7">
        <v>0.66666666666666663</v>
      </c>
      <c r="AG9" s="7" t="str">
        <f>"1/1"</f>
        <v>1/1</v>
      </c>
      <c r="AH9" s="6">
        <v>2</v>
      </c>
      <c r="AI9" s="6">
        <v>1</v>
      </c>
      <c r="AJ9" s="6"/>
      <c r="AK9" s="6">
        <v>1</v>
      </c>
      <c r="AL9" s="6"/>
      <c r="AM9" s="15">
        <f>C9+L9+U9+AD9</f>
        <v>11</v>
      </c>
      <c r="AN9" s="19"/>
      <c r="AO9" s="19" t="str">
        <f>"4/11"</f>
        <v>4/11</v>
      </c>
      <c r="AP9" s="19">
        <v>0.33333333333333331</v>
      </c>
      <c r="AQ9" s="33">
        <f t="shared" si="1"/>
        <v>3</v>
      </c>
      <c r="AR9" s="21">
        <f t="shared" si="1"/>
        <v>4</v>
      </c>
      <c r="AS9" s="6">
        <f t="shared" si="0"/>
        <v>1</v>
      </c>
      <c r="AT9" s="22">
        <f t="shared" si="2"/>
        <v>5</v>
      </c>
      <c r="AU9" s="6">
        <f t="shared" si="3"/>
        <v>7</v>
      </c>
      <c r="AV9" s="38">
        <f t="shared" si="3"/>
        <v>2</v>
      </c>
    </row>
    <row r="10" spans="2:48" x14ac:dyDescent="0.25">
      <c r="B10" s="5" t="s">
        <v>10</v>
      </c>
      <c r="C10" s="5"/>
      <c r="D10" s="7"/>
      <c r="E10" s="7"/>
      <c r="F10" s="7"/>
      <c r="G10" s="6"/>
      <c r="H10" s="6"/>
      <c r="I10" s="6"/>
      <c r="J10" s="6">
        <v>1</v>
      </c>
      <c r="K10" s="6"/>
      <c r="L10" s="5">
        <v>2</v>
      </c>
      <c r="M10" s="7"/>
      <c r="N10" s="7">
        <v>0.5</v>
      </c>
      <c r="O10" s="7"/>
      <c r="P10" s="6">
        <v>1</v>
      </c>
      <c r="Q10" s="6">
        <v>1</v>
      </c>
      <c r="R10" s="6"/>
      <c r="S10" s="6">
        <v>1</v>
      </c>
      <c r="T10" s="6"/>
      <c r="U10" s="5"/>
      <c r="V10" s="7"/>
      <c r="W10" s="7"/>
      <c r="X10" s="7"/>
      <c r="Y10" s="6"/>
      <c r="Z10" s="6"/>
      <c r="AA10" s="6"/>
      <c r="AB10" s="6">
        <v>1</v>
      </c>
      <c r="AC10" s="6"/>
      <c r="AD10" s="5">
        <v>3</v>
      </c>
      <c r="AE10" s="7">
        <v>0.5</v>
      </c>
      <c r="AF10" s="7" t="str">
        <f>"1/1"</f>
        <v>1/1</v>
      </c>
      <c r="AG10" s="7"/>
      <c r="AH10" s="6"/>
      <c r="AI10" s="6">
        <v>1</v>
      </c>
      <c r="AJ10" s="6"/>
      <c r="AK10" s="6">
        <v>1</v>
      </c>
      <c r="AL10" s="6"/>
      <c r="AM10" s="15">
        <f>C10+L10+U10+AD10</f>
        <v>5</v>
      </c>
      <c r="AN10" s="19" t="str">
        <f>"1/2"</f>
        <v>1/2</v>
      </c>
      <c r="AO10" s="19" t="str">
        <f>"2/3"</f>
        <v>2/3</v>
      </c>
      <c r="AP10" s="19"/>
      <c r="AQ10" s="33">
        <f t="shared" si="1"/>
        <v>1</v>
      </c>
      <c r="AR10" s="21">
        <f t="shared" si="1"/>
        <v>2</v>
      </c>
      <c r="AS10" s="6">
        <f t="shared" si="0"/>
        <v>0</v>
      </c>
      <c r="AT10" s="22">
        <f t="shared" si="2"/>
        <v>2</v>
      </c>
      <c r="AU10" s="6">
        <f t="shared" si="3"/>
        <v>4</v>
      </c>
      <c r="AV10" s="38">
        <f t="shared" si="3"/>
        <v>0</v>
      </c>
    </row>
    <row r="11" spans="2:48" x14ac:dyDescent="0.25">
      <c r="B11" s="5" t="s">
        <v>40</v>
      </c>
      <c r="C11" s="5"/>
      <c r="D11" s="7"/>
      <c r="E11" s="7"/>
      <c r="F11" s="7"/>
      <c r="G11" s="6"/>
      <c r="H11" s="6"/>
      <c r="I11" s="6"/>
      <c r="J11" s="6"/>
      <c r="K11" s="6"/>
      <c r="L11" s="5"/>
      <c r="M11" s="7"/>
      <c r="N11" s="7"/>
      <c r="O11" s="7"/>
      <c r="P11" s="6"/>
      <c r="Q11" s="6"/>
      <c r="R11" s="6"/>
      <c r="S11" s="6"/>
      <c r="T11" s="6"/>
      <c r="U11" s="5"/>
      <c r="V11" s="7"/>
      <c r="W11" s="7"/>
      <c r="X11" s="7"/>
      <c r="Y11" s="6"/>
      <c r="Z11" s="6"/>
      <c r="AA11" s="6"/>
      <c r="AB11" s="6"/>
      <c r="AC11" s="6"/>
      <c r="AD11" s="5"/>
      <c r="AE11" s="7"/>
      <c r="AF11" s="7"/>
      <c r="AG11" s="7"/>
      <c r="AH11" s="6"/>
      <c r="AI11" s="6"/>
      <c r="AJ11" s="6"/>
      <c r="AK11" s="6"/>
      <c r="AL11" s="6"/>
      <c r="AM11" s="15">
        <f t="shared" ref="AM11:AM12" si="4">C11+L11+U11+AD11</f>
        <v>0</v>
      </c>
      <c r="AN11" s="19"/>
      <c r="AO11" s="19"/>
      <c r="AP11" s="19"/>
      <c r="AQ11" s="33">
        <f t="shared" si="1"/>
        <v>0</v>
      </c>
      <c r="AR11" s="21">
        <f t="shared" si="1"/>
        <v>0</v>
      </c>
      <c r="AS11" s="6">
        <f t="shared" si="0"/>
        <v>0</v>
      </c>
      <c r="AT11" s="22">
        <f t="shared" si="2"/>
        <v>0</v>
      </c>
      <c r="AU11" s="6">
        <f t="shared" si="3"/>
        <v>0</v>
      </c>
      <c r="AV11" s="38">
        <f t="shared" si="3"/>
        <v>0</v>
      </c>
    </row>
    <row r="12" spans="2:48" x14ac:dyDescent="0.25">
      <c r="B12" s="5" t="s">
        <v>15</v>
      </c>
      <c r="C12" s="5">
        <v>2</v>
      </c>
      <c r="D12" s="7"/>
      <c r="E12" s="7">
        <v>0.5</v>
      </c>
      <c r="F12" s="7"/>
      <c r="G12" s="6"/>
      <c r="H12" s="6">
        <v>1</v>
      </c>
      <c r="I12" s="6"/>
      <c r="J12" s="6"/>
      <c r="K12" s="6"/>
      <c r="L12" s="5">
        <v>1</v>
      </c>
      <c r="M12" s="7">
        <v>0.5</v>
      </c>
      <c r="N12" s="7" t="s">
        <v>43</v>
      </c>
      <c r="O12" s="7"/>
      <c r="P12" s="6"/>
      <c r="Q12" s="6">
        <v>2</v>
      </c>
      <c r="R12" s="6"/>
      <c r="S12" s="6">
        <v>1</v>
      </c>
      <c r="T12" s="6"/>
      <c r="U12" s="5">
        <v>3</v>
      </c>
      <c r="V12" s="7"/>
      <c r="W12" s="7" t="s">
        <v>43</v>
      </c>
      <c r="X12" s="7" t="str">
        <f>"1/1"</f>
        <v>1/1</v>
      </c>
      <c r="Y12" s="6"/>
      <c r="Z12" s="6"/>
      <c r="AA12" s="6"/>
      <c r="AB12" s="6">
        <v>5</v>
      </c>
      <c r="AC12" s="6"/>
      <c r="AD12" s="5"/>
      <c r="AE12" s="7"/>
      <c r="AF12" s="7" t="s">
        <v>44</v>
      </c>
      <c r="AG12" s="7"/>
      <c r="AH12" s="6"/>
      <c r="AI12" s="6"/>
      <c r="AJ12" s="6"/>
      <c r="AK12" s="6">
        <v>2</v>
      </c>
      <c r="AL12" s="6"/>
      <c r="AM12" s="15">
        <f t="shared" si="4"/>
        <v>6</v>
      </c>
      <c r="AN12" s="19" t="str">
        <f>"1/2"</f>
        <v>1/2</v>
      </c>
      <c r="AO12" s="19" t="str">
        <f>"1/6"</f>
        <v>1/6</v>
      </c>
      <c r="AP12" s="19" t="str">
        <f>"1/1"</f>
        <v>1/1</v>
      </c>
      <c r="AQ12" s="33">
        <f t="shared" si="1"/>
        <v>0</v>
      </c>
      <c r="AR12" s="21">
        <f t="shared" si="1"/>
        <v>3</v>
      </c>
      <c r="AS12" s="6">
        <f t="shared" si="0"/>
        <v>0</v>
      </c>
      <c r="AT12" s="22">
        <f t="shared" si="2"/>
        <v>3</v>
      </c>
      <c r="AU12" s="6">
        <f t="shared" si="3"/>
        <v>8</v>
      </c>
      <c r="AV12" s="38">
        <f t="shared" si="3"/>
        <v>0</v>
      </c>
    </row>
    <row r="13" spans="2:48" x14ac:dyDescent="0.25">
      <c r="B13" s="5" t="s">
        <v>13</v>
      </c>
      <c r="C13" s="5"/>
      <c r="D13" s="7" t="s">
        <v>44</v>
      </c>
      <c r="E13" s="7"/>
      <c r="F13" s="7"/>
      <c r="G13" s="6"/>
      <c r="H13" s="6"/>
      <c r="I13" s="6"/>
      <c r="J13" s="6">
        <v>1</v>
      </c>
      <c r="K13" s="6"/>
      <c r="L13" s="5"/>
      <c r="M13" s="7"/>
      <c r="N13" s="7"/>
      <c r="O13" s="7"/>
      <c r="P13" s="6"/>
      <c r="Q13" s="6"/>
      <c r="R13" s="6"/>
      <c r="S13" s="6"/>
      <c r="T13" s="6"/>
      <c r="U13" s="5"/>
      <c r="V13" s="7"/>
      <c r="W13" s="7"/>
      <c r="X13" s="7"/>
      <c r="Y13" s="6"/>
      <c r="Z13" s="6"/>
      <c r="AA13" s="6"/>
      <c r="AB13" s="6"/>
      <c r="AC13" s="6"/>
      <c r="AD13" s="5"/>
      <c r="AE13" s="7"/>
      <c r="AF13" s="7"/>
      <c r="AG13" s="7"/>
      <c r="AH13" s="6"/>
      <c r="AI13" s="6">
        <v>1</v>
      </c>
      <c r="AJ13" s="6"/>
      <c r="AK13" s="6">
        <v>2</v>
      </c>
      <c r="AL13" s="6"/>
      <c r="AM13" s="15">
        <f>C13+L13+U13+AD13</f>
        <v>0</v>
      </c>
      <c r="AN13" s="19" t="str">
        <f>"0/2"</f>
        <v>0/2</v>
      </c>
      <c r="AO13" s="19"/>
      <c r="AP13" s="19"/>
      <c r="AQ13" s="33">
        <f t="shared" si="1"/>
        <v>0</v>
      </c>
      <c r="AR13" s="21">
        <f t="shared" si="1"/>
        <v>1</v>
      </c>
      <c r="AS13" s="6">
        <f t="shared" si="0"/>
        <v>0</v>
      </c>
      <c r="AT13" s="22">
        <f t="shared" si="2"/>
        <v>1</v>
      </c>
      <c r="AU13" s="6">
        <f t="shared" si="3"/>
        <v>3</v>
      </c>
      <c r="AV13" s="38">
        <f t="shared" si="3"/>
        <v>0</v>
      </c>
    </row>
    <row r="14" spans="2:48" x14ac:dyDescent="0.25">
      <c r="B14" s="5" t="s">
        <v>4</v>
      </c>
      <c r="C14" s="5">
        <v>1</v>
      </c>
      <c r="D14" s="7">
        <v>0.5</v>
      </c>
      <c r="E14" s="7" t="s">
        <v>44</v>
      </c>
      <c r="F14" s="7"/>
      <c r="G14" s="6"/>
      <c r="H14" s="6"/>
      <c r="I14" s="6"/>
      <c r="J14" s="6"/>
      <c r="K14" s="6">
        <v>1</v>
      </c>
      <c r="L14" s="5"/>
      <c r="M14" s="7"/>
      <c r="N14" s="7" t="s">
        <v>44</v>
      </c>
      <c r="O14" s="7"/>
      <c r="P14" s="6"/>
      <c r="Q14" s="6"/>
      <c r="R14" s="6"/>
      <c r="S14" s="6">
        <v>1</v>
      </c>
      <c r="T14" s="6">
        <v>1</v>
      </c>
      <c r="U14" s="5"/>
      <c r="V14" s="7"/>
      <c r="W14" s="7" t="s">
        <v>43</v>
      </c>
      <c r="X14" s="7"/>
      <c r="Y14" s="6"/>
      <c r="Z14" s="6"/>
      <c r="AA14" s="6"/>
      <c r="AB14" s="6">
        <v>1</v>
      </c>
      <c r="AC14" s="6"/>
      <c r="AD14" s="5"/>
      <c r="AE14" s="7"/>
      <c r="AF14" s="7" t="s">
        <v>44</v>
      </c>
      <c r="AG14" s="7"/>
      <c r="AH14" s="6"/>
      <c r="AI14" s="6"/>
      <c r="AJ14" s="6"/>
      <c r="AK14" s="6"/>
      <c r="AL14" s="6"/>
      <c r="AM14" s="15">
        <f>C14+L14+U14+AD14</f>
        <v>1</v>
      </c>
      <c r="AN14" s="19">
        <v>0.5</v>
      </c>
      <c r="AO14" s="19" t="str">
        <f>"0/7"</f>
        <v>0/7</v>
      </c>
      <c r="AP14" s="19"/>
      <c r="AQ14" s="33">
        <f t="shared" si="1"/>
        <v>0</v>
      </c>
      <c r="AR14" s="21">
        <f t="shared" si="1"/>
        <v>0</v>
      </c>
      <c r="AS14" s="6">
        <f t="shared" si="0"/>
        <v>0</v>
      </c>
      <c r="AT14" s="22">
        <f t="shared" si="2"/>
        <v>0</v>
      </c>
      <c r="AU14" s="6">
        <f t="shared" si="3"/>
        <v>2</v>
      </c>
      <c r="AV14" s="38">
        <f t="shared" si="3"/>
        <v>2</v>
      </c>
    </row>
    <row r="15" spans="2:48" x14ac:dyDescent="0.25">
      <c r="B15" s="5" t="s">
        <v>16</v>
      </c>
      <c r="C15" s="5"/>
      <c r="D15" s="7"/>
      <c r="E15" s="7"/>
      <c r="F15" s="7"/>
      <c r="G15" s="6"/>
      <c r="H15" s="6"/>
      <c r="I15" s="6"/>
      <c r="J15" s="6">
        <v>1</v>
      </c>
      <c r="K15" s="6"/>
      <c r="L15" s="5">
        <v>1</v>
      </c>
      <c r="M15" s="7">
        <v>0.5</v>
      </c>
      <c r="N15" s="7"/>
      <c r="O15" s="7"/>
      <c r="P15" s="6"/>
      <c r="Q15" s="6"/>
      <c r="R15" s="6"/>
      <c r="S15" s="6"/>
      <c r="T15" s="6"/>
      <c r="U15" s="5"/>
      <c r="V15" s="7"/>
      <c r="W15" s="7"/>
      <c r="X15" s="7"/>
      <c r="Y15" s="6"/>
      <c r="Z15" s="6"/>
      <c r="AA15" s="6"/>
      <c r="AB15" s="6">
        <v>1</v>
      </c>
      <c r="AC15" s="6"/>
      <c r="AD15" s="5"/>
      <c r="AE15" s="7"/>
      <c r="AF15" s="7"/>
      <c r="AG15" s="7"/>
      <c r="AH15" s="6"/>
      <c r="AI15" s="6"/>
      <c r="AJ15" s="6"/>
      <c r="AK15" s="6">
        <v>1</v>
      </c>
      <c r="AL15" s="6"/>
      <c r="AM15" s="15">
        <f>C15+L15+U15+AD15</f>
        <v>1</v>
      </c>
      <c r="AN15" s="19">
        <v>0.5</v>
      </c>
      <c r="AO15" s="19"/>
      <c r="AP15" s="19"/>
      <c r="AQ15" s="33">
        <f t="shared" si="1"/>
        <v>0</v>
      </c>
      <c r="AR15" s="21">
        <f t="shared" si="1"/>
        <v>0</v>
      </c>
      <c r="AS15" s="6">
        <f t="shared" si="0"/>
        <v>0</v>
      </c>
      <c r="AT15" s="22">
        <f t="shared" si="2"/>
        <v>0</v>
      </c>
      <c r="AU15" s="6">
        <f t="shared" si="3"/>
        <v>3</v>
      </c>
      <c r="AV15" s="38">
        <f t="shared" si="3"/>
        <v>0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1"/>
        <v>0</v>
      </c>
      <c r="AR16" s="21">
        <f t="shared" si="1"/>
        <v>0</v>
      </c>
      <c r="AS16" s="6">
        <f t="shared" si="0"/>
        <v>0</v>
      </c>
      <c r="AT16" s="22">
        <f t="shared" si="2"/>
        <v>0</v>
      </c>
      <c r="AU16" s="6">
        <f t="shared" si="3"/>
        <v>0</v>
      </c>
      <c r="AV16" s="38">
        <f t="shared" si="3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1"/>
        <v>0</v>
      </c>
      <c r="AR17" s="30">
        <f t="shared" si="1"/>
        <v>0</v>
      </c>
      <c r="AS17" s="4">
        <f t="shared" si="0"/>
        <v>0</v>
      </c>
      <c r="AT17" s="31">
        <f t="shared" si="2"/>
        <v>0</v>
      </c>
      <c r="AU17" s="4">
        <f t="shared" si="3"/>
        <v>0</v>
      </c>
      <c r="AV17" s="39">
        <f t="shared" si="3"/>
        <v>0</v>
      </c>
    </row>
    <row r="18" spans="2:48" s="9" customFormat="1" ht="14.25" x14ac:dyDescent="0.2">
      <c r="C18" s="11">
        <f>SUM(C7:C17)</f>
        <v>9</v>
      </c>
      <c r="D18" s="10" t="str">
        <f>"1/4"</f>
        <v>1/4</v>
      </c>
      <c r="E18" s="10" t="str">
        <f>"4/10"</f>
        <v>4/10</v>
      </c>
      <c r="F18" s="10" t="str">
        <f>"0/3"</f>
        <v>0/3</v>
      </c>
      <c r="G18" s="9">
        <f>SUM(G7:G17)</f>
        <v>1</v>
      </c>
      <c r="H18" s="9">
        <f t="shared" ref="H18:K18" si="5">SUM(H7:H17)</f>
        <v>5</v>
      </c>
      <c r="I18" s="9">
        <f t="shared" si="5"/>
        <v>0</v>
      </c>
      <c r="J18" s="9">
        <f t="shared" si="5"/>
        <v>4</v>
      </c>
      <c r="K18" s="9">
        <f t="shared" si="5"/>
        <v>2</v>
      </c>
      <c r="L18" s="11">
        <f>SUM(L7:L17)</f>
        <v>10</v>
      </c>
      <c r="M18" s="10" t="str">
        <f>"4/6"</f>
        <v>4/6</v>
      </c>
      <c r="N18" s="10" t="str">
        <f>"3/15"</f>
        <v>3/15</v>
      </c>
      <c r="P18" s="9">
        <f>SUM(P7:P17)</f>
        <v>1</v>
      </c>
      <c r="Q18" s="9">
        <f t="shared" ref="Q18:T18" si="6">SUM(Q7:Q17)</f>
        <v>4</v>
      </c>
      <c r="R18" s="9">
        <f t="shared" si="6"/>
        <v>0</v>
      </c>
      <c r="S18" s="9">
        <f t="shared" si="6"/>
        <v>4</v>
      </c>
      <c r="T18" s="9">
        <f t="shared" si="6"/>
        <v>4</v>
      </c>
      <c r="U18" s="11">
        <f>SUM(U7:U17)</f>
        <v>8</v>
      </c>
      <c r="V18" s="10" t="str">
        <f>"1/1"</f>
        <v>1/1</v>
      </c>
      <c r="W18" s="10" t="str">
        <f>"2/10"</f>
        <v>2/10</v>
      </c>
      <c r="X18" s="10" t="str">
        <f>"1/2"</f>
        <v>1/2</v>
      </c>
      <c r="Y18" s="9">
        <f>SUM(Y7:Y17)</f>
        <v>0</v>
      </c>
      <c r="Z18" s="9">
        <f t="shared" ref="Z18:AC18" si="7">SUM(Z7:Z17)</f>
        <v>7</v>
      </c>
      <c r="AA18" s="9">
        <f t="shared" si="7"/>
        <v>3</v>
      </c>
      <c r="AB18" s="9">
        <f t="shared" si="7"/>
        <v>13</v>
      </c>
      <c r="AC18" s="9">
        <f t="shared" si="7"/>
        <v>2</v>
      </c>
      <c r="AD18" s="11">
        <f>SUM(AD7:AD17)</f>
        <v>20</v>
      </c>
      <c r="AE18" s="10">
        <v>0.5</v>
      </c>
      <c r="AF18" s="10" t="str">
        <f>"8/16"</f>
        <v>8/16</v>
      </c>
      <c r="AG18" s="10" t="str">
        <f>"1/1"</f>
        <v>1/1</v>
      </c>
      <c r="AH18" s="9">
        <f>SUM(AH7:AH17)</f>
        <v>3</v>
      </c>
      <c r="AI18" s="9">
        <f t="shared" ref="AI18:AL18" si="8">SUM(AI7:AI17)</f>
        <v>8</v>
      </c>
      <c r="AJ18" s="9">
        <f t="shared" si="8"/>
        <v>3</v>
      </c>
      <c r="AK18" s="9">
        <f t="shared" si="8"/>
        <v>8</v>
      </c>
      <c r="AL18" s="9">
        <f t="shared" si="8"/>
        <v>1</v>
      </c>
      <c r="AM18" s="12">
        <f>SUM(AM7:AM17)</f>
        <v>47</v>
      </c>
      <c r="AN18" s="13" t="str">
        <f>"7/13"</f>
        <v>7/13</v>
      </c>
      <c r="AO18" s="13" t="str">
        <f>"17/51"</f>
        <v>17/51</v>
      </c>
      <c r="AP18" s="13" t="str">
        <f>"2/6"</f>
        <v>2/6</v>
      </c>
      <c r="AQ18" s="11">
        <f t="shared" ref="AQ18:AV18" si="9">SUM(AQ7:AQ17)</f>
        <v>5</v>
      </c>
      <c r="AR18" s="11">
        <f t="shared" si="9"/>
        <v>24</v>
      </c>
      <c r="AS18" s="11">
        <f t="shared" si="9"/>
        <v>6</v>
      </c>
      <c r="AT18" s="11">
        <f t="shared" si="9"/>
        <v>30</v>
      </c>
      <c r="AU18" s="11">
        <f t="shared" si="9"/>
        <v>29</v>
      </c>
      <c r="AV18" s="11">
        <f t="shared" si="9"/>
        <v>9</v>
      </c>
    </row>
    <row r="19" spans="2:48" x14ac:dyDescent="0.25">
      <c r="AN19" s="14">
        <f>7/13</f>
        <v>0.53846153846153844</v>
      </c>
      <c r="AO19" s="14">
        <f>17/51</f>
        <v>0.33333333333333331</v>
      </c>
      <c r="AP19" s="14">
        <f>2/6</f>
        <v>0.33333333333333331</v>
      </c>
    </row>
    <row r="20" spans="2:48" x14ac:dyDescent="0.25">
      <c r="B20" s="41" t="s">
        <v>25</v>
      </c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46</v>
      </c>
      <c r="AN21" s="42" t="str">
        <f>"8/16"</f>
        <v>8/16</v>
      </c>
      <c r="AO21" s="42" t="str">
        <f>"11/38"</f>
        <v>11/38</v>
      </c>
      <c r="AP21" s="42" t="str">
        <f>"1/1"</f>
        <v>1/1</v>
      </c>
      <c r="AQ21" s="43">
        <v>3</v>
      </c>
      <c r="AR21" s="43">
        <v>16</v>
      </c>
      <c r="AS21" s="43">
        <v>7</v>
      </c>
      <c r="AT21" s="43">
        <v>23</v>
      </c>
      <c r="AU21" s="43">
        <v>37</v>
      </c>
      <c r="AV21" s="43">
        <v>18</v>
      </c>
    </row>
    <row r="22" spans="2:48" x14ac:dyDescent="0.25">
      <c r="C22" s="1" t="s">
        <v>20</v>
      </c>
      <c r="D22" s="1" t="s">
        <v>27</v>
      </c>
      <c r="AN22" s="14">
        <f>8/16</f>
        <v>0.5</v>
      </c>
      <c r="AO22" s="14">
        <f>11/38</f>
        <v>0.28947368421052633</v>
      </c>
      <c r="AP22" s="14">
        <f>1/1</f>
        <v>1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</row>
    <row r="25" spans="2:48" x14ac:dyDescent="0.25">
      <c r="C25" s="1" t="s">
        <v>23</v>
      </c>
      <c r="D25" s="1" t="s">
        <v>31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</row>
  </sheetData>
  <mergeCells count="7">
    <mergeCell ref="AM5:AV5"/>
    <mergeCell ref="W2:X2"/>
    <mergeCell ref="K2:N2"/>
    <mergeCell ref="C5:K5"/>
    <mergeCell ref="L5:T5"/>
    <mergeCell ref="U5:AC5"/>
    <mergeCell ref="AD5:A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27"/>
  <sheetViews>
    <sheetView workbookViewId="0">
      <selection activeCell="AL26" sqref="AL26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6" width="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1406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4.425781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3.28515625" style="1" bestFit="1" customWidth="1"/>
    <col min="39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48</v>
      </c>
      <c r="I2" s="40" t="s">
        <v>38</v>
      </c>
      <c r="K2" s="52">
        <v>43058</v>
      </c>
      <c r="L2" s="52"/>
      <c r="M2" s="52"/>
      <c r="N2" s="52"/>
      <c r="Q2" s="45" t="s">
        <v>47</v>
      </c>
      <c r="W2" s="65" t="str">
        <f>"86/56"</f>
        <v>86/56</v>
      </c>
      <c r="X2" s="66"/>
    </row>
    <row r="3" spans="2:48" x14ac:dyDescent="0.25">
      <c r="B3" s="40" t="s">
        <v>36</v>
      </c>
      <c r="C3" s="1" t="s">
        <v>37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>
        <v>2</v>
      </c>
      <c r="D7" s="7"/>
      <c r="E7" s="7" t="str">
        <f>"1/1"</f>
        <v>1/1</v>
      </c>
      <c r="F7" s="7"/>
      <c r="G7" s="6"/>
      <c r="H7" s="6">
        <v>1</v>
      </c>
      <c r="I7" s="6"/>
      <c r="J7" s="6">
        <v>1</v>
      </c>
      <c r="K7" s="6"/>
      <c r="L7" s="5"/>
      <c r="M7" s="7"/>
      <c r="N7" s="7" t="s">
        <v>43</v>
      </c>
      <c r="O7" s="7"/>
      <c r="P7" s="6"/>
      <c r="Q7" s="6">
        <v>4</v>
      </c>
      <c r="R7" s="6"/>
      <c r="S7" s="6"/>
      <c r="T7" s="6"/>
      <c r="U7" s="5"/>
      <c r="V7" s="7"/>
      <c r="W7" s="7" t="s">
        <v>42</v>
      </c>
      <c r="X7" s="7"/>
      <c r="Y7" s="6"/>
      <c r="Z7" s="6">
        <v>3</v>
      </c>
      <c r="AA7" s="6"/>
      <c r="AB7" s="6"/>
      <c r="AC7" s="6"/>
      <c r="AD7" s="5">
        <v>2</v>
      </c>
      <c r="AE7" s="7"/>
      <c r="AF7" s="7">
        <v>0.5</v>
      </c>
      <c r="AG7" s="7"/>
      <c r="AH7" s="6"/>
      <c r="AI7" s="6">
        <v>1</v>
      </c>
      <c r="AJ7" s="6">
        <v>3</v>
      </c>
      <c r="AK7" s="6">
        <v>1</v>
      </c>
      <c r="AL7" s="6"/>
      <c r="AM7" s="25">
        <f>C7+L7+U7+AD7</f>
        <v>4</v>
      </c>
      <c r="AN7" s="26"/>
      <c r="AO7" s="26">
        <v>0.2857142857142857</v>
      </c>
      <c r="AP7" s="26"/>
      <c r="AQ7" s="32">
        <f>G7+P7+Y7+AH7</f>
        <v>0</v>
      </c>
      <c r="AR7" s="28">
        <f>H7+Q7+Z7+AI7</f>
        <v>9</v>
      </c>
      <c r="AS7" s="27">
        <f t="shared" ref="AS7:AS17" si="0">I7+R7+AA7+AJ7</f>
        <v>3</v>
      </c>
      <c r="AT7" s="29">
        <f>AR7+AS7</f>
        <v>12</v>
      </c>
      <c r="AU7" s="27">
        <f>J7+S7+AB7+AK7</f>
        <v>2</v>
      </c>
      <c r="AV7" s="37">
        <f>K7+T7+AC7+AL7</f>
        <v>0</v>
      </c>
    </row>
    <row r="8" spans="2:48" x14ac:dyDescent="0.25">
      <c r="B8" s="5" t="s">
        <v>12</v>
      </c>
      <c r="C8" s="5">
        <v>7</v>
      </c>
      <c r="D8" s="7" t="s">
        <v>52</v>
      </c>
      <c r="E8" s="7">
        <v>0.75</v>
      </c>
      <c r="F8" s="7"/>
      <c r="G8" s="6"/>
      <c r="H8" s="6">
        <v>3</v>
      </c>
      <c r="I8" s="6"/>
      <c r="J8" s="6">
        <v>2</v>
      </c>
      <c r="K8" s="6"/>
      <c r="L8" s="5">
        <v>2</v>
      </c>
      <c r="M8" s="7" t="s">
        <v>43</v>
      </c>
      <c r="N8" s="7" t="s">
        <v>52</v>
      </c>
      <c r="O8" s="7"/>
      <c r="P8" s="6"/>
      <c r="Q8" s="6">
        <v>2</v>
      </c>
      <c r="R8" s="6"/>
      <c r="S8" s="6">
        <v>1</v>
      </c>
      <c r="T8" s="6"/>
      <c r="U8" s="5">
        <v>8</v>
      </c>
      <c r="V8" s="7"/>
      <c r="W8" s="7">
        <v>0.8</v>
      </c>
      <c r="X8" s="7"/>
      <c r="Y8" s="6"/>
      <c r="Z8" s="6">
        <v>6</v>
      </c>
      <c r="AA8" s="6">
        <v>2</v>
      </c>
      <c r="AB8" s="6"/>
      <c r="AC8" s="6">
        <v>2</v>
      </c>
      <c r="AD8" s="5">
        <v>1</v>
      </c>
      <c r="AE8" s="7">
        <v>0.5</v>
      </c>
      <c r="AF8" s="7" t="s">
        <v>42</v>
      </c>
      <c r="AG8" s="7"/>
      <c r="AH8" s="6"/>
      <c r="AI8" s="6">
        <v>1</v>
      </c>
      <c r="AJ8" s="6"/>
      <c r="AK8" s="6">
        <v>1</v>
      </c>
      <c r="AL8" s="6"/>
      <c r="AM8" s="15">
        <f>C8+L8+U8+AD8</f>
        <v>18</v>
      </c>
      <c r="AN8" s="19" t="str">
        <f>"2/4"</f>
        <v>2/4</v>
      </c>
      <c r="AO8" s="19" t="str">
        <f>"8/13"</f>
        <v>8/13</v>
      </c>
      <c r="AP8" s="19"/>
      <c r="AQ8" s="33">
        <f t="shared" ref="AQ8:AR17" si="1">G8+P8+Y8+AH8</f>
        <v>0</v>
      </c>
      <c r="AR8" s="21">
        <f t="shared" si="1"/>
        <v>12</v>
      </c>
      <c r="AS8" s="6">
        <f t="shared" si="0"/>
        <v>2</v>
      </c>
      <c r="AT8" s="22">
        <f t="shared" ref="AT8:AT17" si="2">AR8+AS8</f>
        <v>14</v>
      </c>
      <c r="AU8" s="6">
        <f t="shared" ref="AU8:AV17" si="3">J8+S8+AB8+AK8</f>
        <v>4</v>
      </c>
      <c r="AV8" s="38">
        <f t="shared" si="3"/>
        <v>2</v>
      </c>
    </row>
    <row r="9" spans="2:48" x14ac:dyDescent="0.25">
      <c r="B9" s="5" t="s">
        <v>10</v>
      </c>
      <c r="C9" s="5">
        <v>2</v>
      </c>
      <c r="D9" s="7"/>
      <c r="E9" s="7">
        <v>0.5</v>
      </c>
      <c r="F9" s="7"/>
      <c r="G9" s="6"/>
      <c r="H9" s="6"/>
      <c r="I9" s="6"/>
      <c r="J9" s="6"/>
      <c r="K9" s="6">
        <v>1</v>
      </c>
      <c r="L9" s="5">
        <v>4</v>
      </c>
      <c r="M9" s="7" t="str">
        <f>"2/2"</f>
        <v>2/2</v>
      </c>
      <c r="N9" s="7">
        <v>0.5</v>
      </c>
      <c r="O9" s="7"/>
      <c r="P9" s="6">
        <v>1</v>
      </c>
      <c r="Q9" s="6">
        <v>1</v>
      </c>
      <c r="R9" s="6"/>
      <c r="S9" s="6">
        <v>1</v>
      </c>
      <c r="T9" s="6"/>
      <c r="U9" s="5">
        <v>3</v>
      </c>
      <c r="V9" s="7">
        <v>0.5</v>
      </c>
      <c r="W9" s="7">
        <v>0.2</v>
      </c>
      <c r="X9" s="7"/>
      <c r="Y9" s="6">
        <v>1</v>
      </c>
      <c r="Z9" s="6"/>
      <c r="AA9" s="6">
        <v>1</v>
      </c>
      <c r="AB9" s="6">
        <v>1</v>
      </c>
      <c r="AC9" s="6"/>
      <c r="AD9" s="5">
        <v>2</v>
      </c>
      <c r="AE9" s="7"/>
      <c r="AF9" s="7" t="str">
        <f>"1/1"</f>
        <v>1/1</v>
      </c>
      <c r="AG9" s="7"/>
      <c r="AH9" s="6"/>
      <c r="AI9" s="6"/>
      <c r="AJ9" s="6">
        <v>1</v>
      </c>
      <c r="AK9" s="6"/>
      <c r="AL9" s="6"/>
      <c r="AM9" s="15">
        <f>C9+L9+U9+AD9</f>
        <v>11</v>
      </c>
      <c r="AN9" s="19">
        <v>0.75</v>
      </c>
      <c r="AO9" s="19" t="str">
        <f>"4/10"</f>
        <v>4/10</v>
      </c>
      <c r="AP9" s="19"/>
      <c r="AQ9" s="33">
        <f t="shared" si="1"/>
        <v>2</v>
      </c>
      <c r="AR9" s="21">
        <f t="shared" si="1"/>
        <v>1</v>
      </c>
      <c r="AS9" s="6">
        <f t="shared" si="0"/>
        <v>2</v>
      </c>
      <c r="AT9" s="22">
        <f t="shared" si="2"/>
        <v>3</v>
      </c>
      <c r="AU9" s="6">
        <f t="shared" si="3"/>
        <v>2</v>
      </c>
      <c r="AV9" s="38">
        <f t="shared" si="3"/>
        <v>1</v>
      </c>
    </row>
    <row r="10" spans="2:48" x14ac:dyDescent="0.25">
      <c r="B10" s="5" t="s">
        <v>41</v>
      </c>
      <c r="C10" s="5"/>
      <c r="D10" s="7"/>
      <c r="E10" s="7" t="s">
        <v>44</v>
      </c>
      <c r="F10" s="7"/>
      <c r="G10" s="6">
        <v>1</v>
      </c>
      <c r="H10" s="6"/>
      <c r="I10" s="6"/>
      <c r="J10" s="6"/>
      <c r="K10" s="6"/>
      <c r="L10" s="5">
        <v>7</v>
      </c>
      <c r="M10" s="7"/>
      <c r="N10" s="7">
        <v>0.66666666666666663</v>
      </c>
      <c r="O10" s="7" t="str">
        <f>"1/1"</f>
        <v>1/1</v>
      </c>
      <c r="P10" s="6">
        <v>1</v>
      </c>
      <c r="Q10" s="6"/>
      <c r="R10" s="6"/>
      <c r="S10" s="6">
        <v>1</v>
      </c>
      <c r="T10" s="6"/>
      <c r="U10" s="5">
        <v>2</v>
      </c>
      <c r="V10" s="7"/>
      <c r="W10" s="7" t="str">
        <f>"1/1"</f>
        <v>1/1</v>
      </c>
      <c r="X10" s="7"/>
      <c r="Y10" s="6"/>
      <c r="Z10" s="6">
        <v>2</v>
      </c>
      <c r="AA10" s="6"/>
      <c r="AB10" s="6"/>
      <c r="AC10" s="6"/>
      <c r="AD10" s="5"/>
      <c r="AE10" s="7"/>
      <c r="AF10" s="7"/>
      <c r="AG10" s="7" t="s">
        <v>43</v>
      </c>
      <c r="AH10" s="6"/>
      <c r="AI10" s="6">
        <v>1</v>
      </c>
      <c r="AJ10" s="6"/>
      <c r="AK10" s="6"/>
      <c r="AL10" s="6"/>
      <c r="AM10" s="15">
        <f>C10+L10+U10+AD10</f>
        <v>9</v>
      </c>
      <c r="AN10" s="19"/>
      <c r="AO10" s="19" t="str">
        <f>"3/6"</f>
        <v>3/6</v>
      </c>
      <c r="AP10" s="19">
        <v>0.5</v>
      </c>
      <c r="AQ10" s="33">
        <f t="shared" si="1"/>
        <v>2</v>
      </c>
      <c r="AR10" s="21">
        <f t="shared" si="1"/>
        <v>3</v>
      </c>
      <c r="AS10" s="6">
        <f t="shared" si="0"/>
        <v>0</v>
      </c>
      <c r="AT10" s="22">
        <f t="shared" si="2"/>
        <v>3</v>
      </c>
      <c r="AU10" s="6">
        <f t="shared" si="3"/>
        <v>1</v>
      </c>
      <c r="AV10" s="38">
        <f t="shared" si="3"/>
        <v>0</v>
      </c>
    </row>
    <row r="11" spans="2:48" x14ac:dyDescent="0.25">
      <c r="B11" s="5" t="s">
        <v>40</v>
      </c>
      <c r="C11" s="5"/>
      <c r="D11" s="7"/>
      <c r="E11" s="7"/>
      <c r="F11" s="7"/>
      <c r="G11" s="6"/>
      <c r="H11" s="6"/>
      <c r="I11" s="6"/>
      <c r="J11" s="6"/>
      <c r="K11" s="6"/>
      <c r="L11" s="5"/>
      <c r="M11" s="7"/>
      <c r="N11" s="7"/>
      <c r="O11" s="7"/>
      <c r="P11" s="6"/>
      <c r="Q11" s="6"/>
      <c r="R11" s="6"/>
      <c r="S11" s="6"/>
      <c r="T11" s="6"/>
      <c r="U11" s="5"/>
      <c r="V11" s="7"/>
      <c r="W11" s="7"/>
      <c r="X11" s="7"/>
      <c r="Y11" s="6"/>
      <c r="Z11" s="6"/>
      <c r="AA11" s="6"/>
      <c r="AB11" s="6"/>
      <c r="AC11" s="6"/>
      <c r="AD11" s="5"/>
      <c r="AE11" s="7"/>
      <c r="AF11" s="7"/>
      <c r="AG11" s="7"/>
      <c r="AH11" s="6"/>
      <c r="AI11" s="6"/>
      <c r="AJ11" s="6"/>
      <c r="AK11" s="6"/>
      <c r="AL11" s="6"/>
      <c r="AM11" s="15">
        <f t="shared" ref="AM11:AM12" si="4">C11+L11+U11+AD11</f>
        <v>0</v>
      </c>
      <c r="AN11" s="19"/>
      <c r="AO11" s="19"/>
      <c r="AP11" s="19"/>
      <c r="AQ11" s="33">
        <f t="shared" si="1"/>
        <v>0</v>
      </c>
      <c r="AR11" s="21">
        <f t="shared" si="1"/>
        <v>0</v>
      </c>
      <c r="AS11" s="6">
        <f t="shared" si="0"/>
        <v>0</v>
      </c>
      <c r="AT11" s="22">
        <f t="shared" si="2"/>
        <v>0</v>
      </c>
      <c r="AU11" s="6">
        <f t="shared" si="3"/>
        <v>0</v>
      </c>
      <c r="AV11" s="38">
        <f t="shared" si="3"/>
        <v>0</v>
      </c>
    </row>
    <row r="12" spans="2:48" x14ac:dyDescent="0.25">
      <c r="B12" s="5" t="s">
        <v>15</v>
      </c>
      <c r="C12" s="5"/>
      <c r="D12" s="7"/>
      <c r="E12" s="7"/>
      <c r="F12" s="7"/>
      <c r="G12" s="6"/>
      <c r="H12" s="6"/>
      <c r="I12" s="6"/>
      <c r="J12" s="6"/>
      <c r="K12" s="6"/>
      <c r="L12" s="5">
        <v>2</v>
      </c>
      <c r="M12" s="7"/>
      <c r="N12" s="7" t="str">
        <f>"1/1"</f>
        <v>1/1</v>
      </c>
      <c r="O12" s="7"/>
      <c r="P12" s="6"/>
      <c r="Q12" s="6">
        <v>1</v>
      </c>
      <c r="R12" s="6"/>
      <c r="S12" s="6"/>
      <c r="T12" s="6"/>
      <c r="U12" s="5">
        <v>2</v>
      </c>
      <c r="V12" s="7"/>
      <c r="W12" s="7" t="str">
        <f>"1/1"</f>
        <v>1/1</v>
      </c>
      <c r="X12" s="7"/>
      <c r="Y12" s="6"/>
      <c r="Z12" s="6"/>
      <c r="AA12" s="6"/>
      <c r="AB12" s="6">
        <v>2</v>
      </c>
      <c r="AC12" s="6"/>
      <c r="AD12" s="5">
        <v>2</v>
      </c>
      <c r="AE12" s="7"/>
      <c r="AF12" s="7">
        <v>0.33333333333333331</v>
      </c>
      <c r="AG12" s="7"/>
      <c r="AH12" s="6"/>
      <c r="AI12" s="6">
        <v>1</v>
      </c>
      <c r="AJ12" s="6"/>
      <c r="AK12" s="6">
        <v>3</v>
      </c>
      <c r="AL12" s="6"/>
      <c r="AM12" s="15">
        <f t="shared" si="4"/>
        <v>6</v>
      </c>
      <c r="AN12" s="19"/>
      <c r="AO12" s="19" t="str">
        <f>"3/5"</f>
        <v>3/5</v>
      </c>
      <c r="AP12" s="19"/>
      <c r="AQ12" s="33">
        <f t="shared" si="1"/>
        <v>0</v>
      </c>
      <c r="AR12" s="21">
        <f t="shared" si="1"/>
        <v>2</v>
      </c>
      <c r="AS12" s="6">
        <f t="shared" si="0"/>
        <v>0</v>
      </c>
      <c r="AT12" s="22">
        <f t="shared" si="2"/>
        <v>2</v>
      </c>
      <c r="AU12" s="6">
        <f t="shared" si="3"/>
        <v>5</v>
      </c>
      <c r="AV12" s="38">
        <f t="shared" si="3"/>
        <v>0</v>
      </c>
    </row>
    <row r="13" spans="2:48" x14ac:dyDescent="0.25">
      <c r="B13" s="5" t="s">
        <v>13</v>
      </c>
      <c r="C13" s="5">
        <v>1</v>
      </c>
      <c r="D13" s="7">
        <v>0.5</v>
      </c>
      <c r="E13" s="7"/>
      <c r="F13" s="7"/>
      <c r="G13" s="6"/>
      <c r="H13" s="6"/>
      <c r="I13" s="6"/>
      <c r="J13" s="6"/>
      <c r="K13" s="6">
        <v>1</v>
      </c>
      <c r="L13" s="5"/>
      <c r="M13" s="7"/>
      <c r="N13" s="7"/>
      <c r="O13" s="7"/>
      <c r="P13" s="6"/>
      <c r="Q13" s="6"/>
      <c r="R13" s="6"/>
      <c r="S13" s="6">
        <v>1</v>
      </c>
      <c r="T13" s="6"/>
      <c r="U13" s="5"/>
      <c r="V13" s="7"/>
      <c r="W13" s="7" t="s">
        <v>44</v>
      </c>
      <c r="X13" s="7"/>
      <c r="Y13" s="6"/>
      <c r="Z13" s="6"/>
      <c r="AA13" s="6"/>
      <c r="AB13" s="6"/>
      <c r="AC13" s="6"/>
      <c r="AD13" s="5">
        <v>2</v>
      </c>
      <c r="AE13" s="7"/>
      <c r="AF13" s="7">
        <v>0.25</v>
      </c>
      <c r="AG13" s="7"/>
      <c r="AH13" s="6"/>
      <c r="AI13" s="6"/>
      <c r="AJ13" s="6">
        <v>1</v>
      </c>
      <c r="AK13" s="6">
        <v>1</v>
      </c>
      <c r="AL13" s="6">
        <v>1</v>
      </c>
      <c r="AM13" s="15">
        <f>C13+L13+U13+AD13</f>
        <v>3</v>
      </c>
      <c r="AN13" s="19" t="str">
        <f>"1/2"</f>
        <v>1/2</v>
      </c>
      <c r="AO13" s="19">
        <v>0.16666666666666666</v>
      </c>
      <c r="AP13" s="19"/>
      <c r="AQ13" s="33">
        <f t="shared" si="1"/>
        <v>0</v>
      </c>
      <c r="AR13" s="21">
        <f t="shared" si="1"/>
        <v>0</v>
      </c>
      <c r="AS13" s="6">
        <f t="shared" si="0"/>
        <v>1</v>
      </c>
      <c r="AT13" s="22">
        <f t="shared" si="2"/>
        <v>1</v>
      </c>
      <c r="AU13" s="6">
        <f t="shared" si="3"/>
        <v>2</v>
      </c>
      <c r="AV13" s="38">
        <f t="shared" si="3"/>
        <v>2</v>
      </c>
    </row>
    <row r="14" spans="2:48" x14ac:dyDescent="0.25">
      <c r="B14" s="5" t="s">
        <v>4</v>
      </c>
      <c r="C14" s="5"/>
      <c r="D14" s="7"/>
      <c r="E14" s="7" t="s">
        <v>43</v>
      </c>
      <c r="F14" s="7"/>
      <c r="G14" s="6"/>
      <c r="H14" s="6">
        <v>1</v>
      </c>
      <c r="I14" s="6"/>
      <c r="J14" s="6">
        <v>2</v>
      </c>
      <c r="K14" s="6"/>
      <c r="L14" s="5">
        <v>3</v>
      </c>
      <c r="M14" s="7">
        <v>0.33333333333333331</v>
      </c>
      <c r="N14" s="7">
        <v>0.5</v>
      </c>
      <c r="O14" s="7"/>
      <c r="P14" s="6"/>
      <c r="Q14" s="6"/>
      <c r="R14" s="6"/>
      <c r="S14" s="6"/>
      <c r="T14" s="6"/>
      <c r="U14" s="5">
        <v>2</v>
      </c>
      <c r="V14" s="7" t="str">
        <f>"2/4"</f>
        <v>2/4</v>
      </c>
      <c r="W14" s="7" t="s">
        <v>44</v>
      </c>
      <c r="X14" s="7"/>
      <c r="Y14" s="6"/>
      <c r="Z14" s="6"/>
      <c r="AA14" s="6"/>
      <c r="AB14" s="6">
        <v>1</v>
      </c>
      <c r="AC14" s="6"/>
      <c r="AD14" s="5"/>
      <c r="AE14" s="7"/>
      <c r="AF14" s="7" t="s">
        <v>44</v>
      </c>
      <c r="AG14" s="7"/>
      <c r="AH14" s="6"/>
      <c r="AI14" s="6">
        <v>1</v>
      </c>
      <c r="AJ14" s="6"/>
      <c r="AK14" s="6">
        <v>2</v>
      </c>
      <c r="AL14" s="6">
        <v>1</v>
      </c>
      <c r="AM14" s="15">
        <f>C14+L14+U14+AD14</f>
        <v>5</v>
      </c>
      <c r="AN14" s="19">
        <v>0.42857142857142855</v>
      </c>
      <c r="AO14" s="19" t="str">
        <f>"1/7"</f>
        <v>1/7</v>
      </c>
      <c r="AP14" s="19"/>
      <c r="AQ14" s="33">
        <f t="shared" si="1"/>
        <v>0</v>
      </c>
      <c r="AR14" s="21">
        <f t="shared" si="1"/>
        <v>2</v>
      </c>
      <c r="AS14" s="6">
        <f t="shared" si="0"/>
        <v>0</v>
      </c>
      <c r="AT14" s="22">
        <f t="shared" si="2"/>
        <v>2</v>
      </c>
      <c r="AU14" s="6">
        <f t="shared" si="3"/>
        <v>5</v>
      </c>
      <c r="AV14" s="38">
        <f t="shared" si="3"/>
        <v>1</v>
      </c>
    </row>
    <row r="15" spans="2:48" x14ac:dyDescent="0.25">
      <c r="B15" s="5" t="s">
        <v>16</v>
      </c>
      <c r="C15" s="5"/>
      <c r="D15" s="7"/>
      <c r="E15" s="7" t="s">
        <v>44</v>
      </c>
      <c r="F15" s="7"/>
      <c r="G15" s="6"/>
      <c r="H15" s="6"/>
      <c r="I15" s="6"/>
      <c r="J15" s="6"/>
      <c r="K15" s="6"/>
      <c r="L15" s="5"/>
      <c r="M15" s="7"/>
      <c r="N15" s="7"/>
      <c r="O15" s="7"/>
      <c r="P15" s="6"/>
      <c r="Q15" s="6"/>
      <c r="R15" s="6"/>
      <c r="S15" s="6"/>
      <c r="T15" s="6"/>
      <c r="U15" s="5"/>
      <c r="V15" s="7"/>
      <c r="W15" s="7"/>
      <c r="X15" s="7"/>
      <c r="Y15" s="6"/>
      <c r="Z15" s="6">
        <v>1</v>
      </c>
      <c r="AA15" s="6"/>
      <c r="AB15" s="6"/>
      <c r="AC15" s="6"/>
      <c r="AD15" s="5"/>
      <c r="AE15" s="7"/>
      <c r="AF15" s="7"/>
      <c r="AG15" s="7"/>
      <c r="AH15" s="6">
        <v>1</v>
      </c>
      <c r="AI15" s="6">
        <v>1</v>
      </c>
      <c r="AJ15" s="6"/>
      <c r="AK15" s="6">
        <v>1</v>
      </c>
      <c r="AL15" s="6"/>
      <c r="AM15" s="15">
        <f>C15+L15+U15+AD15</f>
        <v>0</v>
      </c>
      <c r="AN15" s="19">
        <v>0.5</v>
      </c>
      <c r="AO15" s="19"/>
      <c r="AP15" s="19"/>
      <c r="AQ15" s="33">
        <f t="shared" si="1"/>
        <v>1</v>
      </c>
      <c r="AR15" s="21">
        <f t="shared" si="1"/>
        <v>2</v>
      </c>
      <c r="AS15" s="6">
        <f t="shared" si="0"/>
        <v>0</v>
      </c>
      <c r="AT15" s="22">
        <f t="shared" si="2"/>
        <v>2</v>
      </c>
      <c r="AU15" s="6">
        <f t="shared" si="3"/>
        <v>1</v>
      </c>
      <c r="AV15" s="38">
        <f t="shared" si="3"/>
        <v>0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1"/>
        <v>0</v>
      </c>
      <c r="AR16" s="21">
        <f t="shared" si="1"/>
        <v>0</v>
      </c>
      <c r="AS16" s="6">
        <f t="shared" si="0"/>
        <v>0</v>
      </c>
      <c r="AT16" s="22">
        <f t="shared" si="2"/>
        <v>0</v>
      </c>
      <c r="AU16" s="6">
        <f t="shared" si="3"/>
        <v>0</v>
      </c>
      <c r="AV16" s="38">
        <f t="shared" si="3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1"/>
        <v>0</v>
      </c>
      <c r="AR17" s="30">
        <f t="shared" si="1"/>
        <v>0</v>
      </c>
      <c r="AS17" s="4">
        <f t="shared" si="0"/>
        <v>0</v>
      </c>
      <c r="AT17" s="31">
        <f t="shared" si="2"/>
        <v>0</v>
      </c>
      <c r="AU17" s="4">
        <f t="shared" si="3"/>
        <v>0</v>
      </c>
      <c r="AV17" s="39">
        <f t="shared" si="3"/>
        <v>0</v>
      </c>
    </row>
    <row r="18" spans="2:48" s="9" customFormat="1" thickBot="1" x14ac:dyDescent="0.25">
      <c r="C18" s="11">
        <f>SUM(C7:C17)</f>
        <v>12</v>
      </c>
      <c r="D18" s="10" t="str">
        <f>"2/3"</f>
        <v>2/3</v>
      </c>
      <c r="E18" s="10" t="str">
        <f>"5/12"</f>
        <v>5/12</v>
      </c>
      <c r="F18" s="10"/>
      <c r="G18" s="9">
        <f>SUM(G7:G17)</f>
        <v>1</v>
      </c>
      <c r="H18" s="9">
        <f t="shared" ref="H18:K18" si="5">SUM(H7:H17)</f>
        <v>5</v>
      </c>
      <c r="I18" s="9">
        <f t="shared" si="5"/>
        <v>0</v>
      </c>
      <c r="J18" s="9">
        <f t="shared" si="5"/>
        <v>5</v>
      </c>
      <c r="K18" s="9">
        <f t="shared" si="5"/>
        <v>2</v>
      </c>
      <c r="L18" s="11">
        <f>SUM(L7:L17)</f>
        <v>18</v>
      </c>
      <c r="M18" s="10" t="str">
        <f>"3/6"</f>
        <v>3/6</v>
      </c>
      <c r="N18" s="10" t="str">
        <f>"6/10"</f>
        <v>6/10</v>
      </c>
      <c r="O18" s="9" t="str">
        <f>"1/1"</f>
        <v>1/1</v>
      </c>
      <c r="P18" s="9">
        <f>SUM(P7:P17)</f>
        <v>2</v>
      </c>
      <c r="Q18" s="9">
        <f t="shared" ref="Q18:T18" si="6">SUM(Q7:Q17)</f>
        <v>8</v>
      </c>
      <c r="R18" s="9">
        <f t="shared" si="6"/>
        <v>0</v>
      </c>
      <c r="S18" s="9">
        <f t="shared" si="6"/>
        <v>4</v>
      </c>
      <c r="T18" s="9">
        <f t="shared" si="6"/>
        <v>0</v>
      </c>
      <c r="U18" s="11">
        <f>SUM(U7:U17)</f>
        <v>17</v>
      </c>
      <c r="V18" s="10" t="str">
        <f>"3/6"</f>
        <v>3/6</v>
      </c>
      <c r="W18" s="10" t="str">
        <f>"7/19"</f>
        <v>7/19</v>
      </c>
      <c r="X18" s="10"/>
      <c r="Y18" s="9">
        <f>SUM(Y7:Y17)</f>
        <v>1</v>
      </c>
      <c r="Z18" s="9">
        <f t="shared" ref="Z18:AC18" si="7">SUM(Z7:Z17)</f>
        <v>12</v>
      </c>
      <c r="AA18" s="9">
        <f t="shared" si="7"/>
        <v>3</v>
      </c>
      <c r="AB18" s="9">
        <f t="shared" si="7"/>
        <v>4</v>
      </c>
      <c r="AC18" s="9">
        <f t="shared" si="7"/>
        <v>2</v>
      </c>
      <c r="AD18" s="11">
        <f>SUM(AD7:AD17)</f>
        <v>9</v>
      </c>
      <c r="AE18" s="10">
        <v>0.5</v>
      </c>
      <c r="AF18" s="10" t="str">
        <f>"4/15"</f>
        <v>4/15</v>
      </c>
      <c r="AG18" s="10" t="str">
        <f>"0/1"</f>
        <v>0/1</v>
      </c>
      <c r="AH18" s="9">
        <f>SUM(AH7:AH17)</f>
        <v>1</v>
      </c>
      <c r="AI18" s="9">
        <f t="shared" ref="AI18:AL18" si="8">SUM(AI7:AI17)</f>
        <v>6</v>
      </c>
      <c r="AJ18" s="9">
        <f t="shared" si="8"/>
        <v>5</v>
      </c>
      <c r="AK18" s="9">
        <f t="shared" si="8"/>
        <v>9</v>
      </c>
      <c r="AL18" s="9">
        <f t="shared" si="8"/>
        <v>2</v>
      </c>
      <c r="AM18" s="12">
        <f>SUM(AM7:AM17)</f>
        <v>56</v>
      </c>
      <c r="AN18" s="13" t="str">
        <f>"10/19"</f>
        <v>10/19</v>
      </c>
      <c r="AO18" s="13" t="str">
        <f>"22/54"</f>
        <v>22/54</v>
      </c>
      <c r="AP18" s="13" t="str">
        <f>"1/2"</f>
        <v>1/2</v>
      </c>
      <c r="AQ18" s="11">
        <f t="shared" ref="AQ18:AV18" si="9">SUM(AQ7:AQ17)</f>
        <v>5</v>
      </c>
      <c r="AR18" s="11">
        <f t="shared" si="9"/>
        <v>31</v>
      </c>
      <c r="AS18" s="11">
        <f t="shared" si="9"/>
        <v>8</v>
      </c>
      <c r="AT18" s="11">
        <f t="shared" si="9"/>
        <v>39</v>
      </c>
      <c r="AU18" s="11">
        <f t="shared" si="9"/>
        <v>22</v>
      </c>
      <c r="AV18" s="11">
        <f t="shared" si="9"/>
        <v>6</v>
      </c>
    </row>
    <row r="19" spans="2:48" s="40" customFormat="1" thickBot="1" x14ac:dyDescent="0.25">
      <c r="B19" s="40" t="s">
        <v>54</v>
      </c>
      <c r="F19" s="67" t="str">
        <f>"21/12"</f>
        <v>21/12</v>
      </c>
      <c r="G19" s="68"/>
      <c r="H19" s="68"/>
      <c r="I19" s="68"/>
      <c r="J19" s="68"/>
      <c r="K19" s="69"/>
      <c r="O19" s="67" t="str">
        <f>"21/18"</f>
        <v>21/18</v>
      </c>
      <c r="P19" s="68"/>
      <c r="Q19" s="68"/>
      <c r="R19" s="68"/>
      <c r="S19" s="68"/>
      <c r="T19" s="69"/>
      <c r="X19" s="67" t="str">
        <f>"21/17"</f>
        <v>21/17</v>
      </c>
      <c r="Y19" s="68"/>
      <c r="Z19" s="68"/>
      <c r="AA19" s="68"/>
      <c r="AB19" s="68"/>
      <c r="AC19" s="69"/>
      <c r="AG19" s="67" t="str">
        <f>"23/9"</f>
        <v>23/9</v>
      </c>
      <c r="AH19" s="68"/>
      <c r="AI19" s="68"/>
      <c r="AJ19" s="68"/>
      <c r="AK19" s="68"/>
      <c r="AL19" s="69"/>
      <c r="AN19" s="14">
        <f>10/19</f>
        <v>0.52631578947368418</v>
      </c>
      <c r="AO19" s="14">
        <f>22/54</f>
        <v>0.40740740740740738</v>
      </c>
      <c r="AP19" s="14">
        <f>1/2</f>
        <v>0.5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"42/30"</f>
        <v>42/30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"63/47"</f>
        <v>63/47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53</v>
      </c>
      <c r="AN21" s="42" t="s">
        <v>49</v>
      </c>
      <c r="AO21" s="42" t="s">
        <v>50</v>
      </c>
      <c r="AP21" s="42" t="s">
        <v>51</v>
      </c>
      <c r="AQ21" s="43">
        <v>5</v>
      </c>
      <c r="AR21" s="43">
        <v>24</v>
      </c>
      <c r="AS21" s="43">
        <v>6</v>
      </c>
      <c r="AT21" s="43">
        <v>30</v>
      </c>
      <c r="AU21" s="43">
        <v>29</v>
      </c>
      <c r="AV21" s="43">
        <v>9</v>
      </c>
    </row>
    <row r="22" spans="2:48" x14ac:dyDescent="0.25">
      <c r="C22" s="1" t="s">
        <v>20</v>
      </c>
      <c r="D22" s="1" t="s">
        <v>27</v>
      </c>
      <c r="AN22" s="14">
        <v>0.53846153846153844</v>
      </c>
      <c r="AO22" s="14">
        <v>0.33333333333333331</v>
      </c>
      <c r="AP22" s="14">
        <v>0.33333333333333331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46</v>
      </c>
      <c r="AN24" s="42" t="str">
        <f>"8/16"</f>
        <v>8/16</v>
      </c>
      <c r="AO24" s="42" t="str">
        <f>"11/38"</f>
        <v>11/38</v>
      </c>
      <c r="AP24" s="42" t="str">
        <f>"1/1"</f>
        <v>1/1</v>
      </c>
      <c r="AQ24" s="43">
        <v>3</v>
      </c>
      <c r="AR24" s="43">
        <v>16</v>
      </c>
      <c r="AS24" s="43">
        <v>7</v>
      </c>
      <c r="AT24" s="43">
        <v>23</v>
      </c>
      <c r="AU24" s="43">
        <v>37</v>
      </c>
      <c r="AV24" s="43">
        <v>18</v>
      </c>
    </row>
    <row r="25" spans="2:48" x14ac:dyDescent="0.25">
      <c r="C25" s="40" t="s">
        <v>23</v>
      </c>
      <c r="D25" s="40" t="s">
        <v>31</v>
      </c>
      <c r="E25" s="40"/>
      <c r="AN25" s="14">
        <f>8/16</f>
        <v>0.5</v>
      </c>
      <c r="AO25" s="14">
        <f>11/38</f>
        <v>0.28947368421052633</v>
      </c>
      <c r="AP25" s="14">
        <f>1/1</f>
        <v>1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</row>
  </sheetData>
  <mergeCells count="15">
    <mergeCell ref="AM5:AV5"/>
    <mergeCell ref="F19:K19"/>
    <mergeCell ref="O19:T19"/>
    <mergeCell ref="X19:AC19"/>
    <mergeCell ref="AG19:AL19"/>
    <mergeCell ref="AD5:AL5"/>
    <mergeCell ref="O20:T20"/>
    <mergeCell ref="X20:AC20"/>
    <mergeCell ref="L20:N20"/>
    <mergeCell ref="U20:W20"/>
    <mergeCell ref="K2:N2"/>
    <mergeCell ref="W2:X2"/>
    <mergeCell ref="C5:K5"/>
    <mergeCell ref="L5:T5"/>
    <mergeCell ref="U5:A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28"/>
  <sheetViews>
    <sheetView workbookViewId="0">
      <selection activeCell="W2" sqref="W2:X2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1406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4.425781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3.28515625" style="1" bestFit="1" customWidth="1"/>
    <col min="39" max="39" width="3.7109375" style="1" bestFit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56</v>
      </c>
      <c r="I2" s="40" t="s">
        <v>38</v>
      </c>
      <c r="K2" s="52">
        <v>43064</v>
      </c>
      <c r="L2" s="52"/>
      <c r="M2" s="52"/>
      <c r="N2" s="52"/>
      <c r="Q2" s="45" t="s">
        <v>47</v>
      </c>
      <c r="W2" s="65" t="str">
        <f>"79/38"</f>
        <v>79/38</v>
      </c>
      <c r="X2" s="66"/>
    </row>
    <row r="3" spans="2:48" x14ac:dyDescent="0.25">
      <c r="B3" s="40" t="s">
        <v>36</v>
      </c>
      <c r="C3" s="1" t="s">
        <v>37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/>
      <c r="D7" s="7"/>
      <c r="E7" s="7" t="s">
        <v>44</v>
      </c>
      <c r="F7" s="7"/>
      <c r="G7" s="6"/>
      <c r="H7" s="6">
        <v>3</v>
      </c>
      <c r="I7" s="6"/>
      <c r="J7" s="6"/>
      <c r="K7" s="6"/>
      <c r="L7" s="5"/>
      <c r="M7" s="7" t="s">
        <v>44</v>
      </c>
      <c r="N7" s="7" t="s">
        <v>43</v>
      </c>
      <c r="O7" s="7"/>
      <c r="P7" s="6"/>
      <c r="Q7" s="6">
        <v>1</v>
      </c>
      <c r="R7" s="6"/>
      <c r="S7" s="6">
        <v>1</v>
      </c>
      <c r="T7" s="6"/>
      <c r="U7" s="5">
        <v>4</v>
      </c>
      <c r="V7" s="7"/>
      <c r="W7" s="7" t="str">
        <f>"2/6"</f>
        <v>2/6</v>
      </c>
      <c r="X7" s="7"/>
      <c r="Y7" s="6"/>
      <c r="Z7" s="6">
        <v>4</v>
      </c>
      <c r="AA7" s="6">
        <v>1</v>
      </c>
      <c r="AB7" s="6"/>
      <c r="AC7" s="6"/>
      <c r="AD7" s="5">
        <v>6</v>
      </c>
      <c r="AE7" s="7"/>
      <c r="AF7" s="7" t="str">
        <f>"3/5"</f>
        <v>3/5</v>
      </c>
      <c r="AG7" s="7"/>
      <c r="AH7" s="6"/>
      <c r="AI7" s="6"/>
      <c r="AJ7" s="6">
        <v>1</v>
      </c>
      <c r="AK7" s="6">
        <v>1</v>
      </c>
      <c r="AL7" s="6">
        <v>1</v>
      </c>
      <c r="AM7" s="25">
        <f>C7+L7+U7+AD7</f>
        <v>10</v>
      </c>
      <c r="AN7" s="26" t="s">
        <v>44</v>
      </c>
      <c r="AO7" s="26" t="str">
        <f>"5/14"</f>
        <v>5/14</v>
      </c>
      <c r="AP7" s="26"/>
      <c r="AQ7" s="32">
        <f>G7+P7+Y7+AH7</f>
        <v>0</v>
      </c>
      <c r="AR7" s="28">
        <f>H7+Q7+Z7+AI7</f>
        <v>8</v>
      </c>
      <c r="AS7" s="27">
        <f t="shared" ref="AS7:AS17" si="0">I7+R7+AA7+AJ7</f>
        <v>2</v>
      </c>
      <c r="AT7" s="29">
        <f>AR7+AS7</f>
        <v>10</v>
      </c>
      <c r="AU7" s="27">
        <f>J7+S7+AB7+AK7</f>
        <v>2</v>
      </c>
      <c r="AV7" s="37">
        <f>K7+T7+AC7+AL7</f>
        <v>1</v>
      </c>
    </row>
    <row r="8" spans="2:48" x14ac:dyDescent="0.25">
      <c r="B8" s="5" t="s">
        <v>12</v>
      </c>
      <c r="C8" s="5">
        <v>3</v>
      </c>
      <c r="D8" s="7">
        <v>0.25</v>
      </c>
      <c r="E8" s="7">
        <v>0.33333333333333331</v>
      </c>
      <c r="F8" s="7"/>
      <c r="G8" s="6"/>
      <c r="H8" s="6">
        <v>1</v>
      </c>
      <c r="I8" s="6">
        <v>1</v>
      </c>
      <c r="J8" s="6">
        <v>1</v>
      </c>
      <c r="K8" s="6"/>
      <c r="L8" s="5">
        <v>5</v>
      </c>
      <c r="M8" s="7">
        <v>0.5</v>
      </c>
      <c r="N8" s="7">
        <v>0.4</v>
      </c>
      <c r="O8" s="7"/>
      <c r="P8" s="6"/>
      <c r="Q8" s="6">
        <v>2</v>
      </c>
      <c r="R8" s="6"/>
      <c r="S8" s="6">
        <v>3</v>
      </c>
      <c r="T8" s="6">
        <v>1</v>
      </c>
      <c r="U8" s="5"/>
      <c r="V8" s="7"/>
      <c r="W8" s="7" t="s">
        <v>44</v>
      </c>
      <c r="X8" s="7"/>
      <c r="Y8" s="6"/>
      <c r="Z8" s="6">
        <v>1</v>
      </c>
      <c r="AA8" s="6">
        <v>3</v>
      </c>
      <c r="AB8" s="6">
        <v>1</v>
      </c>
      <c r="AC8" s="6"/>
      <c r="AD8" s="5">
        <v>2</v>
      </c>
      <c r="AE8" s="7"/>
      <c r="AF8" s="7">
        <v>0.25</v>
      </c>
      <c r="AG8" s="7"/>
      <c r="AH8" s="6"/>
      <c r="AI8" s="6">
        <v>3</v>
      </c>
      <c r="AJ8" s="6">
        <v>3</v>
      </c>
      <c r="AK8" s="6">
        <v>1</v>
      </c>
      <c r="AL8" s="6"/>
      <c r="AM8" s="15">
        <f>C8+L8+U8+AD8</f>
        <v>10</v>
      </c>
      <c r="AN8" s="19" t="str">
        <f>"2/6"</f>
        <v>2/6</v>
      </c>
      <c r="AO8" s="19" t="str">
        <f>"4/14"</f>
        <v>4/14</v>
      </c>
      <c r="AP8" s="19"/>
      <c r="AQ8" s="33">
        <f t="shared" ref="AQ8:AR17" si="1">G8+P8+Y8+AH8</f>
        <v>0</v>
      </c>
      <c r="AR8" s="21">
        <f t="shared" si="1"/>
        <v>7</v>
      </c>
      <c r="AS8" s="6">
        <f t="shared" si="0"/>
        <v>7</v>
      </c>
      <c r="AT8" s="22">
        <f t="shared" ref="AT8:AT17" si="2">AR8+AS8</f>
        <v>14</v>
      </c>
      <c r="AU8" s="6">
        <f t="shared" ref="AU8:AV17" si="3">J8+S8+AB8+AK8</f>
        <v>6</v>
      </c>
      <c r="AV8" s="38">
        <f t="shared" si="3"/>
        <v>1</v>
      </c>
    </row>
    <row r="9" spans="2:48" x14ac:dyDescent="0.25">
      <c r="B9" s="5" t="s">
        <v>10</v>
      </c>
      <c r="C9" s="5">
        <v>4</v>
      </c>
      <c r="D9" s="7" t="s">
        <v>43</v>
      </c>
      <c r="E9" s="7" t="str">
        <f>"2/2"</f>
        <v>2/2</v>
      </c>
      <c r="F9" s="7"/>
      <c r="G9" s="6"/>
      <c r="H9" s="6"/>
      <c r="I9" s="6"/>
      <c r="J9" s="6">
        <v>1</v>
      </c>
      <c r="K9" s="6"/>
      <c r="L9" s="5"/>
      <c r="M9" s="7"/>
      <c r="N9" s="7"/>
      <c r="O9" s="7"/>
      <c r="P9" s="6"/>
      <c r="Q9" s="6"/>
      <c r="R9" s="6"/>
      <c r="S9" s="6"/>
      <c r="T9" s="6"/>
      <c r="U9" s="5">
        <v>2</v>
      </c>
      <c r="V9" s="7"/>
      <c r="W9" s="7">
        <v>0.5</v>
      </c>
      <c r="X9" s="7"/>
      <c r="Y9" s="6"/>
      <c r="Z9" s="6"/>
      <c r="AA9" s="6"/>
      <c r="AB9" s="6"/>
      <c r="AC9" s="6"/>
      <c r="AD9" s="5">
        <v>3</v>
      </c>
      <c r="AE9" s="7">
        <v>0.5</v>
      </c>
      <c r="AF9" s="7">
        <v>0.33333333333333331</v>
      </c>
      <c r="AG9" s="7"/>
      <c r="AH9" s="6">
        <v>1</v>
      </c>
      <c r="AI9" s="6"/>
      <c r="AJ9" s="6">
        <v>1</v>
      </c>
      <c r="AK9" s="6"/>
      <c r="AL9" s="6"/>
      <c r="AM9" s="15">
        <f>C9+L9+U9+AD9</f>
        <v>9</v>
      </c>
      <c r="AN9" s="19">
        <v>0.33333333333333331</v>
      </c>
      <c r="AO9" s="19">
        <v>0.5714285714285714</v>
      </c>
      <c r="AP9" s="19"/>
      <c r="AQ9" s="33">
        <f t="shared" si="1"/>
        <v>1</v>
      </c>
      <c r="AR9" s="21">
        <f t="shared" si="1"/>
        <v>0</v>
      </c>
      <c r="AS9" s="6">
        <f t="shared" si="0"/>
        <v>1</v>
      </c>
      <c r="AT9" s="22">
        <f t="shared" si="2"/>
        <v>1</v>
      </c>
      <c r="AU9" s="6">
        <f t="shared" si="3"/>
        <v>1</v>
      </c>
      <c r="AV9" s="38">
        <f t="shared" si="3"/>
        <v>0</v>
      </c>
    </row>
    <row r="10" spans="2:48" x14ac:dyDescent="0.25">
      <c r="B10" s="5" t="s">
        <v>41</v>
      </c>
      <c r="C10" s="5">
        <v>3</v>
      </c>
      <c r="D10" s="7"/>
      <c r="E10" s="7"/>
      <c r="F10" s="7" t="str">
        <f>"1/1"</f>
        <v>1/1</v>
      </c>
      <c r="G10" s="6"/>
      <c r="H10" s="6"/>
      <c r="I10" s="6"/>
      <c r="J10" s="6">
        <v>2</v>
      </c>
      <c r="K10" s="6"/>
      <c r="L10" s="5"/>
      <c r="M10" s="7"/>
      <c r="N10" s="7" t="s">
        <v>62</v>
      </c>
      <c r="O10" s="7"/>
      <c r="P10" s="6"/>
      <c r="Q10" s="6"/>
      <c r="R10" s="6"/>
      <c r="S10" s="6"/>
      <c r="T10" s="6"/>
      <c r="U10" s="5"/>
      <c r="V10" s="7"/>
      <c r="W10" s="7"/>
      <c r="X10" s="7"/>
      <c r="Y10" s="6"/>
      <c r="Z10" s="6"/>
      <c r="AA10" s="6"/>
      <c r="AB10" s="6"/>
      <c r="AC10" s="6"/>
      <c r="AD10" s="5"/>
      <c r="AE10" s="7"/>
      <c r="AF10" s="7"/>
      <c r="AG10" s="7"/>
      <c r="AH10" s="6"/>
      <c r="AI10" s="6"/>
      <c r="AJ10" s="6"/>
      <c r="AK10" s="6"/>
      <c r="AL10" s="6"/>
      <c r="AM10" s="15">
        <f>C10+L10+U10+AD10</f>
        <v>3</v>
      </c>
      <c r="AN10" s="19"/>
      <c r="AO10" s="19" t="s">
        <v>62</v>
      </c>
      <c r="AP10" s="19" t="str">
        <f>"1/1"</f>
        <v>1/1</v>
      </c>
      <c r="AQ10" s="33">
        <f t="shared" si="1"/>
        <v>0</v>
      </c>
      <c r="AR10" s="21">
        <f t="shared" si="1"/>
        <v>0</v>
      </c>
      <c r="AS10" s="6">
        <f t="shared" si="0"/>
        <v>0</v>
      </c>
      <c r="AT10" s="22">
        <f t="shared" si="2"/>
        <v>0</v>
      </c>
      <c r="AU10" s="6">
        <f t="shared" si="3"/>
        <v>2</v>
      </c>
      <c r="AV10" s="38">
        <f t="shared" si="3"/>
        <v>0</v>
      </c>
    </row>
    <row r="11" spans="2:48" x14ac:dyDescent="0.25">
      <c r="B11" s="5" t="s">
        <v>40</v>
      </c>
      <c r="C11" s="5"/>
      <c r="D11" s="7"/>
      <c r="E11" s="7"/>
      <c r="F11" s="7"/>
      <c r="G11" s="6"/>
      <c r="H11" s="6"/>
      <c r="I11" s="6"/>
      <c r="J11" s="6"/>
      <c r="K11" s="6"/>
      <c r="L11" s="5"/>
      <c r="M11" s="7"/>
      <c r="N11" s="7"/>
      <c r="O11" s="7"/>
      <c r="P11" s="6"/>
      <c r="Q11" s="6"/>
      <c r="R11" s="6"/>
      <c r="S11" s="6"/>
      <c r="T11" s="6"/>
      <c r="U11" s="5"/>
      <c r="V11" s="7"/>
      <c r="W11" s="7"/>
      <c r="X11" s="7"/>
      <c r="Y11" s="6"/>
      <c r="Z11" s="6"/>
      <c r="AA11" s="6"/>
      <c r="AB11" s="6"/>
      <c r="AC11" s="6"/>
      <c r="AD11" s="5"/>
      <c r="AE11" s="7"/>
      <c r="AF11" s="7"/>
      <c r="AG11" s="7"/>
      <c r="AH11" s="6"/>
      <c r="AI11" s="6"/>
      <c r="AJ11" s="6"/>
      <c r="AK11" s="6"/>
      <c r="AL11" s="6"/>
      <c r="AM11" s="15">
        <f t="shared" ref="AM11:AM12" si="4">C11+L11+U11+AD11</f>
        <v>0</v>
      </c>
      <c r="AN11" s="19"/>
      <c r="AO11" s="19"/>
      <c r="AP11" s="19"/>
      <c r="AQ11" s="33">
        <f t="shared" si="1"/>
        <v>0</v>
      </c>
      <c r="AR11" s="21">
        <f t="shared" si="1"/>
        <v>0</v>
      </c>
      <c r="AS11" s="6">
        <f t="shared" si="0"/>
        <v>0</v>
      </c>
      <c r="AT11" s="22">
        <f t="shared" si="2"/>
        <v>0</v>
      </c>
      <c r="AU11" s="6">
        <f t="shared" si="3"/>
        <v>0</v>
      </c>
      <c r="AV11" s="38">
        <f t="shared" si="3"/>
        <v>0</v>
      </c>
    </row>
    <row r="12" spans="2:48" x14ac:dyDescent="0.25">
      <c r="B12" s="5" t="s">
        <v>15</v>
      </c>
      <c r="C12" s="5"/>
      <c r="D12" s="7" t="s">
        <v>44</v>
      </c>
      <c r="E12" s="7" t="s">
        <v>44</v>
      </c>
      <c r="F12" s="7"/>
      <c r="G12" s="6"/>
      <c r="H12" s="6"/>
      <c r="I12" s="6"/>
      <c r="J12" s="6">
        <v>3</v>
      </c>
      <c r="K12" s="6"/>
      <c r="L12" s="5"/>
      <c r="M12" s="7"/>
      <c r="N12" s="7"/>
      <c r="O12" s="7"/>
      <c r="P12" s="6"/>
      <c r="Q12" s="6">
        <v>1</v>
      </c>
      <c r="R12" s="6"/>
      <c r="S12" s="6">
        <v>3</v>
      </c>
      <c r="T12" s="6"/>
      <c r="U12" s="5"/>
      <c r="V12" s="7"/>
      <c r="W12" s="7" t="s">
        <v>42</v>
      </c>
      <c r="X12" s="7"/>
      <c r="Y12" s="6"/>
      <c r="Z12" s="6">
        <v>2</v>
      </c>
      <c r="AA12" s="6"/>
      <c r="AB12" s="6">
        <v>1</v>
      </c>
      <c r="AC12" s="6"/>
      <c r="AD12" s="5">
        <v>4</v>
      </c>
      <c r="AE12" s="7"/>
      <c r="AF12" s="7">
        <v>0.4</v>
      </c>
      <c r="AG12" s="7"/>
      <c r="AH12" s="6">
        <v>1</v>
      </c>
      <c r="AI12" s="6"/>
      <c r="AJ12" s="6"/>
      <c r="AK12" s="6">
        <v>1</v>
      </c>
      <c r="AL12" s="6"/>
      <c r="AM12" s="15">
        <f t="shared" si="4"/>
        <v>4</v>
      </c>
      <c r="AN12" s="19" t="s">
        <v>44</v>
      </c>
      <c r="AO12" s="19" t="str">
        <f>"2/10"</f>
        <v>2/10</v>
      </c>
      <c r="AP12" s="19"/>
      <c r="AQ12" s="33">
        <f t="shared" si="1"/>
        <v>1</v>
      </c>
      <c r="AR12" s="21">
        <f t="shared" si="1"/>
        <v>3</v>
      </c>
      <c r="AS12" s="6">
        <f t="shared" si="0"/>
        <v>0</v>
      </c>
      <c r="AT12" s="22">
        <f t="shared" si="2"/>
        <v>3</v>
      </c>
      <c r="AU12" s="6">
        <f t="shared" si="3"/>
        <v>8</v>
      </c>
      <c r="AV12" s="38">
        <f t="shared" si="3"/>
        <v>0</v>
      </c>
    </row>
    <row r="13" spans="2:48" x14ac:dyDescent="0.25">
      <c r="B13" s="5" t="s">
        <v>13</v>
      </c>
      <c r="C13" s="5"/>
      <c r="D13" s="7"/>
      <c r="E13" s="7" t="s">
        <v>43</v>
      </c>
      <c r="F13" s="7"/>
      <c r="G13" s="6"/>
      <c r="H13" s="6"/>
      <c r="I13" s="6"/>
      <c r="J13" s="6">
        <v>1</v>
      </c>
      <c r="K13" s="6"/>
      <c r="L13" s="5"/>
      <c r="M13" s="7"/>
      <c r="N13" s="7" t="s">
        <v>43</v>
      </c>
      <c r="O13" s="7"/>
      <c r="P13" s="6"/>
      <c r="Q13" s="6"/>
      <c r="R13" s="6"/>
      <c r="S13" s="6">
        <v>1</v>
      </c>
      <c r="T13" s="6"/>
      <c r="U13" s="5"/>
      <c r="V13" s="7"/>
      <c r="W13" s="7" t="s">
        <v>43</v>
      </c>
      <c r="X13" s="7"/>
      <c r="Y13" s="6"/>
      <c r="Z13" s="6">
        <v>1</v>
      </c>
      <c r="AA13" s="6"/>
      <c r="AB13" s="6">
        <v>1</v>
      </c>
      <c r="AC13" s="6"/>
      <c r="AD13" s="5">
        <v>2</v>
      </c>
      <c r="AE13" s="7"/>
      <c r="AF13" s="7">
        <v>0.5</v>
      </c>
      <c r="AG13" s="7"/>
      <c r="AH13" s="6"/>
      <c r="AI13" s="6"/>
      <c r="AJ13" s="6"/>
      <c r="AK13" s="6"/>
      <c r="AL13" s="6"/>
      <c r="AM13" s="15">
        <f>C13+L13+U13+AD13</f>
        <v>2</v>
      </c>
      <c r="AN13" s="19"/>
      <c r="AO13" s="19">
        <v>0.2</v>
      </c>
      <c r="AP13" s="19"/>
      <c r="AQ13" s="33">
        <f t="shared" si="1"/>
        <v>0</v>
      </c>
      <c r="AR13" s="21">
        <f t="shared" si="1"/>
        <v>1</v>
      </c>
      <c r="AS13" s="6">
        <f t="shared" si="0"/>
        <v>0</v>
      </c>
      <c r="AT13" s="22">
        <f t="shared" si="2"/>
        <v>1</v>
      </c>
      <c r="AU13" s="6">
        <f t="shared" si="3"/>
        <v>3</v>
      </c>
      <c r="AV13" s="38">
        <f t="shared" si="3"/>
        <v>0</v>
      </c>
    </row>
    <row r="14" spans="2:48" x14ac:dyDescent="0.25">
      <c r="B14" s="5" t="s">
        <v>57</v>
      </c>
      <c r="C14" s="5"/>
      <c r="D14" s="7"/>
      <c r="E14" s="7"/>
      <c r="F14" s="7"/>
      <c r="G14" s="6"/>
      <c r="H14" s="6"/>
      <c r="I14" s="6"/>
      <c r="J14" s="6"/>
      <c r="K14" s="6"/>
      <c r="L14" s="5"/>
      <c r="M14" s="7"/>
      <c r="N14" s="7"/>
      <c r="O14" s="7"/>
      <c r="P14" s="6"/>
      <c r="Q14" s="6"/>
      <c r="R14" s="6"/>
      <c r="S14" s="6"/>
      <c r="T14" s="6"/>
      <c r="U14" s="5"/>
      <c r="V14" s="7"/>
      <c r="W14" s="7"/>
      <c r="X14" s="7"/>
      <c r="Y14" s="6"/>
      <c r="Z14" s="6"/>
      <c r="AA14" s="6"/>
      <c r="AB14" s="6"/>
      <c r="AC14" s="6"/>
      <c r="AD14" s="5"/>
      <c r="AE14" s="7"/>
      <c r="AF14" s="7"/>
      <c r="AG14" s="7"/>
      <c r="AH14" s="6"/>
      <c r="AI14" s="6"/>
      <c r="AJ14" s="6"/>
      <c r="AK14" s="6"/>
      <c r="AL14" s="6"/>
      <c r="AM14" s="15">
        <f>C14+L14+U14+AD14</f>
        <v>0</v>
      </c>
      <c r="AN14" s="19"/>
      <c r="AO14" s="19"/>
      <c r="AP14" s="19"/>
      <c r="AQ14" s="33">
        <f t="shared" si="1"/>
        <v>0</v>
      </c>
      <c r="AR14" s="21">
        <f t="shared" si="1"/>
        <v>0</v>
      </c>
      <c r="AS14" s="6">
        <f t="shared" si="0"/>
        <v>0</v>
      </c>
      <c r="AT14" s="22">
        <f t="shared" si="2"/>
        <v>0</v>
      </c>
      <c r="AU14" s="6">
        <f t="shared" si="3"/>
        <v>0</v>
      </c>
      <c r="AV14" s="38">
        <f t="shared" si="3"/>
        <v>0</v>
      </c>
    </row>
    <row r="15" spans="2:48" x14ac:dyDescent="0.25">
      <c r="B15" s="5" t="s">
        <v>16</v>
      </c>
      <c r="C15" s="5"/>
      <c r="D15" s="7"/>
      <c r="E15" s="7"/>
      <c r="F15" s="7"/>
      <c r="G15" s="6"/>
      <c r="H15" s="6">
        <v>1</v>
      </c>
      <c r="I15" s="6"/>
      <c r="J15" s="6"/>
      <c r="K15" s="6"/>
      <c r="L15" s="5"/>
      <c r="M15" s="7"/>
      <c r="N15" s="7"/>
      <c r="O15" s="7"/>
      <c r="P15" s="6"/>
      <c r="Q15" s="6"/>
      <c r="R15" s="6"/>
      <c r="S15" s="6">
        <v>1</v>
      </c>
      <c r="T15" s="6">
        <v>1</v>
      </c>
      <c r="U15" s="5"/>
      <c r="V15" s="7"/>
      <c r="W15" s="7" t="s">
        <v>44</v>
      </c>
      <c r="X15" s="7"/>
      <c r="Y15" s="6"/>
      <c r="Z15" s="6"/>
      <c r="AA15" s="6"/>
      <c r="AB15" s="6">
        <v>1</v>
      </c>
      <c r="AC15" s="6"/>
      <c r="AD15" s="5"/>
      <c r="AE15" s="7"/>
      <c r="AF15" s="7"/>
      <c r="AG15" s="7"/>
      <c r="AH15" s="6"/>
      <c r="AI15" s="6"/>
      <c r="AJ15" s="6"/>
      <c r="AK15" s="6"/>
      <c r="AL15" s="6"/>
      <c r="AM15" s="15">
        <f>C15+L15+U15+AD15</f>
        <v>0</v>
      </c>
      <c r="AN15" s="19"/>
      <c r="AO15" s="19" t="s">
        <v>44</v>
      </c>
      <c r="AP15" s="19"/>
      <c r="AQ15" s="33">
        <f t="shared" si="1"/>
        <v>0</v>
      </c>
      <c r="AR15" s="21">
        <f t="shared" si="1"/>
        <v>1</v>
      </c>
      <c r="AS15" s="6">
        <f t="shared" si="0"/>
        <v>0</v>
      </c>
      <c r="AT15" s="22">
        <f t="shared" si="2"/>
        <v>1</v>
      </c>
      <c r="AU15" s="6">
        <f t="shared" si="3"/>
        <v>2</v>
      </c>
      <c r="AV15" s="38">
        <f t="shared" si="3"/>
        <v>1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1"/>
        <v>0</v>
      </c>
      <c r="AR16" s="21">
        <f t="shared" si="1"/>
        <v>0</v>
      </c>
      <c r="AS16" s="6">
        <f t="shared" si="0"/>
        <v>0</v>
      </c>
      <c r="AT16" s="22">
        <f t="shared" si="2"/>
        <v>0</v>
      </c>
      <c r="AU16" s="6">
        <f t="shared" si="3"/>
        <v>0</v>
      </c>
      <c r="AV16" s="38">
        <f t="shared" si="3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1"/>
        <v>0</v>
      </c>
      <c r="AR17" s="30">
        <f t="shared" si="1"/>
        <v>0</v>
      </c>
      <c r="AS17" s="4">
        <f t="shared" si="0"/>
        <v>0</v>
      </c>
      <c r="AT17" s="31">
        <f t="shared" si="2"/>
        <v>0</v>
      </c>
      <c r="AU17" s="4">
        <f t="shared" si="3"/>
        <v>0</v>
      </c>
      <c r="AV17" s="39">
        <f t="shared" si="3"/>
        <v>0</v>
      </c>
    </row>
    <row r="18" spans="2:48" s="9" customFormat="1" thickBot="1" x14ac:dyDescent="0.25">
      <c r="C18" s="11">
        <f>SUM(C7:C17)</f>
        <v>10</v>
      </c>
      <c r="D18" s="10" t="str">
        <f>"1/7"</f>
        <v>1/7</v>
      </c>
      <c r="E18" s="10" t="str">
        <f>"3/10"</f>
        <v>3/10</v>
      </c>
      <c r="F18" s="10" t="str">
        <f>"1/1"</f>
        <v>1/1</v>
      </c>
      <c r="G18" s="9">
        <f>SUM(G7:G17)</f>
        <v>0</v>
      </c>
      <c r="H18" s="9">
        <f t="shared" ref="H18:K18" si="5">SUM(H7:H17)</f>
        <v>5</v>
      </c>
      <c r="I18" s="9">
        <f t="shared" si="5"/>
        <v>1</v>
      </c>
      <c r="J18" s="9">
        <f t="shared" si="5"/>
        <v>8</v>
      </c>
      <c r="K18" s="9">
        <f t="shared" si="5"/>
        <v>0</v>
      </c>
      <c r="L18" s="11">
        <f>SUM(L7:L17)</f>
        <v>5</v>
      </c>
      <c r="M18" s="10" t="str">
        <f>"1/4"</f>
        <v>1/4</v>
      </c>
      <c r="N18" s="10" t="str">
        <f>"2/11"</f>
        <v>2/11</v>
      </c>
      <c r="P18" s="9">
        <f>SUM(P7:P17)</f>
        <v>0</v>
      </c>
      <c r="Q18" s="9">
        <f t="shared" ref="Q18:T18" si="6">SUM(Q7:Q17)</f>
        <v>4</v>
      </c>
      <c r="R18" s="9">
        <f t="shared" si="6"/>
        <v>0</v>
      </c>
      <c r="S18" s="9">
        <f t="shared" si="6"/>
        <v>9</v>
      </c>
      <c r="T18" s="9">
        <f t="shared" si="6"/>
        <v>2</v>
      </c>
      <c r="U18" s="11">
        <f>SUM(U7:U17)</f>
        <v>6</v>
      </c>
      <c r="V18" s="10"/>
      <c r="W18" s="10" t="str">
        <f>"3/16"</f>
        <v>3/16</v>
      </c>
      <c r="X18" s="10"/>
      <c r="Y18" s="9">
        <f>SUM(Y7:Y17)</f>
        <v>0</v>
      </c>
      <c r="Z18" s="9">
        <f t="shared" ref="Z18:AC18" si="7">SUM(Z7:Z17)</f>
        <v>8</v>
      </c>
      <c r="AA18" s="9">
        <f t="shared" si="7"/>
        <v>4</v>
      </c>
      <c r="AB18" s="9">
        <f t="shared" si="7"/>
        <v>4</v>
      </c>
      <c r="AC18" s="9">
        <f t="shared" si="7"/>
        <v>0</v>
      </c>
      <c r="AD18" s="11">
        <f>SUM(AD7:AD17)</f>
        <v>17</v>
      </c>
      <c r="AE18" s="10">
        <v>0.5</v>
      </c>
      <c r="AF18" s="10" t="str">
        <f>"8/19"</f>
        <v>8/19</v>
      </c>
      <c r="AG18" s="10" t="str">
        <f>"0/1"</f>
        <v>0/1</v>
      </c>
      <c r="AH18" s="9">
        <f>SUM(AH7:AH17)</f>
        <v>2</v>
      </c>
      <c r="AI18" s="9">
        <f t="shared" ref="AI18:AL18" si="8">SUM(AI7:AI17)</f>
        <v>3</v>
      </c>
      <c r="AJ18" s="9">
        <f t="shared" si="8"/>
        <v>5</v>
      </c>
      <c r="AK18" s="9">
        <f t="shared" si="8"/>
        <v>3</v>
      </c>
      <c r="AL18" s="9">
        <f t="shared" si="8"/>
        <v>1</v>
      </c>
      <c r="AM18" s="12">
        <f>SUM(AM7:AM17)</f>
        <v>38</v>
      </c>
      <c r="AN18" s="13" t="str">
        <f>"3/13"</f>
        <v>3/13</v>
      </c>
      <c r="AO18" s="13" t="str">
        <f>"16/56"</f>
        <v>16/56</v>
      </c>
      <c r="AP18" s="13" t="str">
        <f>"1/1"</f>
        <v>1/1</v>
      </c>
      <c r="AQ18" s="11">
        <f t="shared" ref="AQ18:AV18" si="9">SUM(AQ7:AQ17)</f>
        <v>2</v>
      </c>
      <c r="AR18" s="11">
        <f t="shared" si="9"/>
        <v>20</v>
      </c>
      <c r="AS18" s="11">
        <f t="shared" si="9"/>
        <v>10</v>
      </c>
      <c r="AT18" s="11">
        <f t="shared" si="9"/>
        <v>30</v>
      </c>
      <c r="AU18" s="11">
        <f t="shared" si="9"/>
        <v>24</v>
      </c>
      <c r="AV18" s="11">
        <f t="shared" si="9"/>
        <v>3</v>
      </c>
    </row>
    <row r="19" spans="2:48" s="40" customFormat="1" thickBot="1" x14ac:dyDescent="0.25">
      <c r="B19" s="40" t="s">
        <v>54</v>
      </c>
      <c r="F19" s="67" t="str">
        <f>"21/10"</f>
        <v>21/10</v>
      </c>
      <c r="G19" s="68"/>
      <c r="H19" s="68"/>
      <c r="I19" s="68"/>
      <c r="J19" s="68"/>
      <c r="K19" s="69"/>
      <c r="O19" s="67" t="str">
        <f>"18/5"</f>
        <v>18/5</v>
      </c>
      <c r="P19" s="68"/>
      <c r="Q19" s="68"/>
      <c r="R19" s="68"/>
      <c r="S19" s="68"/>
      <c r="T19" s="69"/>
      <c r="X19" s="67" t="str">
        <f>"24/6"</f>
        <v>24/6</v>
      </c>
      <c r="Y19" s="68"/>
      <c r="Z19" s="68"/>
      <c r="AA19" s="68"/>
      <c r="AB19" s="68"/>
      <c r="AC19" s="69"/>
      <c r="AG19" s="67" t="str">
        <f>"16/17"</f>
        <v>16/17</v>
      </c>
      <c r="AH19" s="68"/>
      <c r="AI19" s="68"/>
      <c r="AJ19" s="68"/>
      <c r="AK19" s="68"/>
      <c r="AL19" s="69"/>
      <c r="AN19" s="14">
        <f>3/13</f>
        <v>0.23076923076923078</v>
      </c>
      <c r="AO19" s="14">
        <f>16/56</f>
        <v>0.2857142857142857</v>
      </c>
      <c r="AP19" s="14">
        <f>1/1</f>
        <v>1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"39/15"</f>
        <v>39/15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"63/21"</f>
        <v>63/21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58</v>
      </c>
      <c r="AN21" s="42" t="s">
        <v>59</v>
      </c>
      <c r="AO21" s="42" t="s">
        <v>60</v>
      </c>
      <c r="AP21" s="42" t="s">
        <v>61</v>
      </c>
      <c r="AQ21" s="43">
        <v>5</v>
      </c>
      <c r="AR21" s="43">
        <v>31</v>
      </c>
      <c r="AS21" s="43">
        <v>8</v>
      </c>
      <c r="AT21" s="43">
        <v>39</v>
      </c>
      <c r="AU21" s="43">
        <v>22</v>
      </c>
      <c r="AV21" s="43">
        <v>6</v>
      </c>
    </row>
    <row r="22" spans="2:48" x14ac:dyDescent="0.25">
      <c r="C22" s="1" t="s">
        <v>20</v>
      </c>
      <c r="D22" s="1" t="s">
        <v>27</v>
      </c>
      <c r="AN22" s="14">
        <v>0.52631578947368418</v>
      </c>
      <c r="AO22" s="14">
        <v>0.40740740740740738</v>
      </c>
      <c r="AP22" s="14">
        <v>0.5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53</v>
      </c>
      <c r="AN24" s="42" t="s">
        <v>49</v>
      </c>
      <c r="AO24" s="42" t="s">
        <v>50</v>
      </c>
      <c r="AP24" s="42" t="s">
        <v>51</v>
      </c>
      <c r="AQ24" s="43">
        <v>5</v>
      </c>
      <c r="AR24" s="43">
        <v>24</v>
      </c>
      <c r="AS24" s="43">
        <v>6</v>
      </c>
      <c r="AT24" s="43">
        <v>30</v>
      </c>
      <c r="AU24" s="43">
        <v>29</v>
      </c>
      <c r="AV24" s="43">
        <v>9</v>
      </c>
    </row>
    <row r="25" spans="2:48" x14ac:dyDescent="0.25">
      <c r="C25" s="40" t="s">
        <v>23</v>
      </c>
      <c r="D25" s="40" t="s">
        <v>31</v>
      </c>
      <c r="E25" s="40"/>
      <c r="AN25" s="14">
        <v>0.53846153846153844</v>
      </c>
      <c r="AO25" s="14">
        <v>0.33333333333333331</v>
      </c>
      <c r="AP25" s="14">
        <v>0.33333333333333331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46</v>
      </c>
      <c r="AN27" s="42" t="str">
        <f>"8/16"</f>
        <v>8/16</v>
      </c>
      <c r="AO27" s="42" t="str">
        <f>"11/38"</f>
        <v>11/38</v>
      </c>
      <c r="AP27" s="42" t="str">
        <f>"1/1"</f>
        <v>1/1</v>
      </c>
      <c r="AQ27" s="43">
        <v>3</v>
      </c>
      <c r="AR27" s="43">
        <v>16</v>
      </c>
      <c r="AS27" s="43">
        <v>7</v>
      </c>
      <c r="AT27" s="43">
        <v>23</v>
      </c>
      <c r="AU27" s="43">
        <v>37</v>
      </c>
      <c r="AV27" s="43">
        <v>18</v>
      </c>
    </row>
    <row r="28" spans="2:48" x14ac:dyDescent="0.25">
      <c r="AN28" s="14">
        <f>8/16</f>
        <v>0.5</v>
      </c>
      <c r="AO28" s="14">
        <f>11/38</f>
        <v>0.28947368421052633</v>
      </c>
      <c r="AP28" s="14">
        <f>1/1</f>
        <v>1</v>
      </c>
    </row>
  </sheetData>
  <mergeCells count="15">
    <mergeCell ref="L20:N20"/>
    <mergeCell ref="O20:T20"/>
    <mergeCell ref="U20:W20"/>
    <mergeCell ref="X20:AC20"/>
    <mergeCell ref="K2:N2"/>
    <mergeCell ref="W2:X2"/>
    <mergeCell ref="C5:K5"/>
    <mergeCell ref="L5:T5"/>
    <mergeCell ref="U5:AC5"/>
    <mergeCell ref="AM5:AV5"/>
    <mergeCell ref="F19:K19"/>
    <mergeCell ref="O19:T19"/>
    <mergeCell ref="X19:AC19"/>
    <mergeCell ref="AG19:AL19"/>
    <mergeCell ref="AD5:A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V31"/>
  <sheetViews>
    <sheetView workbookViewId="0">
      <selection activeCell="AQ9" sqref="AQ9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4.425781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3.28515625" style="1" bestFit="1" customWidth="1"/>
    <col min="39" max="39" width="3.7109375" style="1" bestFit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63</v>
      </c>
      <c r="I2" s="40" t="s">
        <v>38</v>
      </c>
      <c r="K2" s="52">
        <v>43072</v>
      </c>
      <c r="L2" s="52"/>
      <c r="M2" s="52"/>
      <c r="N2" s="52"/>
      <c r="Q2" s="45" t="s">
        <v>47</v>
      </c>
      <c r="W2" s="65" t="str">
        <f>"44/71"</f>
        <v>44/71</v>
      </c>
      <c r="X2" s="66"/>
    </row>
    <row r="3" spans="2:48" x14ac:dyDescent="0.25">
      <c r="B3" s="40" t="s">
        <v>36</v>
      </c>
      <c r="C3" s="1" t="s">
        <v>37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>
        <v>2</v>
      </c>
      <c r="D7" s="7"/>
      <c r="E7" s="7">
        <v>0.25</v>
      </c>
      <c r="F7" s="7"/>
      <c r="G7" s="6"/>
      <c r="H7" s="6">
        <v>3</v>
      </c>
      <c r="I7" s="6">
        <v>1</v>
      </c>
      <c r="J7" s="6">
        <v>1</v>
      </c>
      <c r="K7" s="6"/>
      <c r="L7" s="5"/>
      <c r="M7" s="7"/>
      <c r="N7" s="7" t="s">
        <v>42</v>
      </c>
      <c r="O7" s="7"/>
      <c r="P7" s="6">
        <v>1</v>
      </c>
      <c r="Q7" s="6"/>
      <c r="R7" s="6"/>
      <c r="S7" s="6"/>
      <c r="T7" s="6">
        <v>1</v>
      </c>
      <c r="U7" s="5">
        <v>6</v>
      </c>
      <c r="V7" s="7"/>
      <c r="W7" s="7">
        <v>0.6</v>
      </c>
      <c r="X7" s="7"/>
      <c r="Y7" s="6"/>
      <c r="Z7" s="6">
        <v>3</v>
      </c>
      <c r="AA7" s="6">
        <v>2</v>
      </c>
      <c r="AB7" s="6"/>
      <c r="AC7" s="6"/>
      <c r="AD7" s="5">
        <v>2</v>
      </c>
      <c r="AE7" s="7"/>
      <c r="AF7" s="7">
        <v>0.25</v>
      </c>
      <c r="AG7" s="7"/>
      <c r="AH7" s="6"/>
      <c r="AI7" s="6"/>
      <c r="AJ7" s="6"/>
      <c r="AK7" s="6"/>
      <c r="AL7" s="6"/>
      <c r="AM7" s="25">
        <f>C7+L7+U7+AD7</f>
        <v>10</v>
      </c>
      <c r="AN7" s="26"/>
      <c r="AO7" s="26" t="str">
        <f>"5/16"</f>
        <v>5/16</v>
      </c>
      <c r="AP7" s="26"/>
      <c r="AQ7" s="32">
        <f>G7+P7+Y7+AH7</f>
        <v>1</v>
      </c>
      <c r="AR7" s="28">
        <f>H7+Q7+Z7+AI7</f>
        <v>6</v>
      </c>
      <c r="AS7" s="27">
        <f t="shared" ref="AS7:AS17" si="0">I7+R7+AA7+AJ7</f>
        <v>3</v>
      </c>
      <c r="AT7" s="29">
        <f>AR7+AS7</f>
        <v>9</v>
      </c>
      <c r="AU7" s="27">
        <f>J7+S7+AB7+AK7</f>
        <v>1</v>
      </c>
      <c r="AV7" s="37">
        <f>K7+T7+AC7+AL7</f>
        <v>1</v>
      </c>
    </row>
    <row r="8" spans="2:48" x14ac:dyDescent="0.25">
      <c r="B8" s="5" t="s">
        <v>12</v>
      </c>
      <c r="C8" s="5"/>
      <c r="D8" s="7"/>
      <c r="E8" s="7" t="s">
        <v>42</v>
      </c>
      <c r="F8" s="7" t="s">
        <v>43</v>
      </c>
      <c r="G8" s="6"/>
      <c r="H8" s="6">
        <v>1</v>
      </c>
      <c r="I8" s="6">
        <v>1</v>
      </c>
      <c r="J8" s="6">
        <v>3</v>
      </c>
      <c r="K8" s="6"/>
      <c r="L8" s="5">
        <v>5</v>
      </c>
      <c r="M8" s="7">
        <v>0.25</v>
      </c>
      <c r="N8" s="7" t="str">
        <f>"2/4"</f>
        <v>2/4</v>
      </c>
      <c r="O8" s="7" t="s">
        <v>43</v>
      </c>
      <c r="P8" s="6"/>
      <c r="Q8" s="6">
        <v>1</v>
      </c>
      <c r="R8" s="6">
        <v>1</v>
      </c>
      <c r="S8" s="6"/>
      <c r="T8" s="6"/>
      <c r="U8" s="5">
        <v>1</v>
      </c>
      <c r="V8" s="7">
        <v>0.5</v>
      </c>
      <c r="W8" s="7" t="s">
        <v>44</v>
      </c>
      <c r="X8" s="7"/>
      <c r="Y8" s="6"/>
      <c r="Z8" s="6">
        <v>4</v>
      </c>
      <c r="AA8" s="6">
        <v>5</v>
      </c>
      <c r="AB8" s="6"/>
      <c r="AC8" s="6">
        <v>1</v>
      </c>
      <c r="AD8" s="5"/>
      <c r="AE8" s="7"/>
      <c r="AF8" s="7" t="s">
        <v>43</v>
      </c>
      <c r="AG8" s="7" t="s">
        <v>43</v>
      </c>
      <c r="AH8" s="6"/>
      <c r="AI8" s="6">
        <v>2</v>
      </c>
      <c r="AJ8" s="6">
        <v>1</v>
      </c>
      <c r="AK8" s="6">
        <v>2</v>
      </c>
      <c r="AL8" s="6"/>
      <c r="AM8" s="15">
        <f>C8+L8+U8+AD8</f>
        <v>6</v>
      </c>
      <c r="AN8" s="19" t="str">
        <f>"2/6"</f>
        <v>2/6</v>
      </c>
      <c r="AO8" s="19" t="str">
        <f>"2/10"</f>
        <v>2/10</v>
      </c>
      <c r="AP8" s="19" t="s">
        <v>42</v>
      </c>
      <c r="AQ8" s="33">
        <f t="shared" ref="AQ8:AR17" si="1">G8+P8+Y8+AH8</f>
        <v>0</v>
      </c>
      <c r="AR8" s="21">
        <f>H8+Q8+Z8+AI8</f>
        <v>8</v>
      </c>
      <c r="AS8" s="6">
        <f>I8+R8+AA8+AJ8</f>
        <v>8</v>
      </c>
      <c r="AT8" s="22">
        <f t="shared" ref="AT8:AT17" si="2">AR8+AS8</f>
        <v>16</v>
      </c>
      <c r="AU8" s="6">
        <f t="shared" ref="AU8:AV17" si="3">J8+S8+AB8+AK8</f>
        <v>5</v>
      </c>
      <c r="AV8" s="38">
        <f t="shared" si="3"/>
        <v>1</v>
      </c>
    </row>
    <row r="9" spans="2:48" x14ac:dyDescent="0.25">
      <c r="B9" s="5" t="s">
        <v>10</v>
      </c>
      <c r="C9" s="5"/>
      <c r="D9" s="7"/>
      <c r="E9" s="7" t="s">
        <v>44</v>
      </c>
      <c r="F9" s="7"/>
      <c r="G9" s="6"/>
      <c r="H9" s="6">
        <v>1</v>
      </c>
      <c r="I9" s="6"/>
      <c r="J9" s="6"/>
      <c r="K9" s="6"/>
      <c r="L9" s="5"/>
      <c r="M9" s="7" t="s">
        <v>44</v>
      </c>
      <c r="N9" s="7"/>
      <c r="O9" s="7"/>
      <c r="P9" s="6"/>
      <c r="Q9" s="6"/>
      <c r="R9" s="6"/>
      <c r="S9" s="6">
        <v>1</v>
      </c>
      <c r="T9" s="6"/>
      <c r="U9" s="5"/>
      <c r="V9" s="7"/>
      <c r="W9" s="7"/>
      <c r="X9" s="7"/>
      <c r="Y9" s="6"/>
      <c r="Z9" s="6"/>
      <c r="AA9" s="6"/>
      <c r="AB9" s="6"/>
      <c r="AC9" s="6"/>
      <c r="AD9" s="5">
        <v>4</v>
      </c>
      <c r="AE9" s="7"/>
      <c r="AF9" s="7">
        <v>0.66666666666666663</v>
      </c>
      <c r="AG9" s="7"/>
      <c r="AH9" s="6"/>
      <c r="AI9" s="6">
        <v>1</v>
      </c>
      <c r="AJ9" s="6"/>
      <c r="AK9" s="6"/>
      <c r="AL9" s="6"/>
      <c r="AM9" s="15">
        <f>C9+L9+U9+AD9</f>
        <v>4</v>
      </c>
      <c r="AN9" s="19" t="s">
        <v>44</v>
      </c>
      <c r="AO9" s="19">
        <v>0.4</v>
      </c>
      <c r="AP9" s="19"/>
      <c r="AQ9" s="33">
        <f t="shared" si="1"/>
        <v>0</v>
      </c>
      <c r="AR9" s="21">
        <f t="shared" si="1"/>
        <v>2</v>
      </c>
      <c r="AS9" s="6">
        <f t="shared" si="0"/>
        <v>0</v>
      </c>
      <c r="AT9" s="22">
        <f t="shared" si="2"/>
        <v>2</v>
      </c>
      <c r="AU9" s="6">
        <f t="shared" si="3"/>
        <v>1</v>
      </c>
      <c r="AV9" s="38">
        <f t="shared" si="3"/>
        <v>0</v>
      </c>
    </row>
    <row r="10" spans="2:48" x14ac:dyDescent="0.25">
      <c r="B10" s="5" t="s">
        <v>41</v>
      </c>
      <c r="C10" s="5">
        <v>3</v>
      </c>
      <c r="D10" s="7" t="s">
        <v>44</v>
      </c>
      <c r="E10" s="7"/>
      <c r="F10" s="7" t="str">
        <f>"1/1"</f>
        <v>1/1</v>
      </c>
      <c r="G10" s="6"/>
      <c r="H10" s="6"/>
      <c r="I10" s="6"/>
      <c r="J10" s="6"/>
      <c r="K10" s="6">
        <v>1</v>
      </c>
      <c r="L10" s="5">
        <v>5</v>
      </c>
      <c r="M10" s="7" t="str">
        <f>"1/1"</f>
        <v>1/1</v>
      </c>
      <c r="N10" s="7">
        <f>2/3</f>
        <v>0.66666666666666663</v>
      </c>
      <c r="O10" s="7" t="s">
        <v>43</v>
      </c>
      <c r="P10" s="6"/>
      <c r="Q10" s="6">
        <v>1</v>
      </c>
      <c r="R10" s="6"/>
      <c r="S10" s="6">
        <v>1</v>
      </c>
      <c r="T10" s="6"/>
      <c r="U10" s="5">
        <v>4</v>
      </c>
      <c r="V10" s="7" t="s">
        <v>42</v>
      </c>
      <c r="W10" s="7" t="str">
        <f>"2/6"</f>
        <v>2/6</v>
      </c>
      <c r="X10" s="7" t="s">
        <v>43</v>
      </c>
      <c r="Y10" s="6">
        <v>1</v>
      </c>
      <c r="Z10" s="6">
        <v>1</v>
      </c>
      <c r="AA10" s="6"/>
      <c r="AB10" s="6">
        <v>2</v>
      </c>
      <c r="AC10" s="6">
        <v>1</v>
      </c>
      <c r="AD10" s="5">
        <v>2</v>
      </c>
      <c r="AE10" s="7"/>
      <c r="AF10" s="7" t="str">
        <f>"1/2"</f>
        <v>1/2</v>
      </c>
      <c r="AG10" s="7"/>
      <c r="AH10" s="6"/>
      <c r="AI10" s="6">
        <v>1</v>
      </c>
      <c r="AJ10" s="6"/>
      <c r="AK10" s="6"/>
      <c r="AL10" s="6"/>
      <c r="AM10" s="15">
        <f>C10+L10+U10+AD10</f>
        <v>14</v>
      </c>
      <c r="AN10" s="19">
        <v>0.16666666666666666</v>
      </c>
      <c r="AO10" s="19" t="str">
        <f>"5/11"</f>
        <v>5/11</v>
      </c>
      <c r="AP10" s="19">
        <v>0.33333333333333331</v>
      </c>
      <c r="AQ10" s="33">
        <f t="shared" si="1"/>
        <v>1</v>
      </c>
      <c r="AR10" s="21">
        <f t="shared" si="1"/>
        <v>3</v>
      </c>
      <c r="AS10" s="6">
        <f t="shared" si="0"/>
        <v>0</v>
      </c>
      <c r="AT10" s="22">
        <f t="shared" si="2"/>
        <v>3</v>
      </c>
      <c r="AU10" s="6">
        <f t="shared" si="3"/>
        <v>3</v>
      </c>
      <c r="AV10" s="38">
        <f t="shared" si="3"/>
        <v>2</v>
      </c>
    </row>
    <row r="11" spans="2:48" x14ac:dyDescent="0.25">
      <c r="B11" s="5" t="s">
        <v>68</v>
      </c>
      <c r="C11" s="5"/>
      <c r="D11" s="7"/>
      <c r="E11" s="7"/>
      <c r="F11" s="7"/>
      <c r="G11" s="6"/>
      <c r="H11" s="6">
        <v>1</v>
      </c>
      <c r="I11" s="6"/>
      <c r="J11" s="6"/>
      <c r="K11" s="6"/>
      <c r="L11" s="5">
        <v>5</v>
      </c>
      <c r="M11" s="7" t="str">
        <f>"2/2"</f>
        <v>2/2</v>
      </c>
      <c r="N11" s="7" t="s">
        <v>43</v>
      </c>
      <c r="O11" s="7" t="str">
        <f>"1/1"</f>
        <v>1/1</v>
      </c>
      <c r="P11" s="6"/>
      <c r="Q11" s="6"/>
      <c r="R11" s="6"/>
      <c r="S11" s="6">
        <v>1</v>
      </c>
      <c r="T11" s="6"/>
      <c r="U11" s="5"/>
      <c r="V11" s="7" t="s">
        <v>44</v>
      </c>
      <c r="W11" s="7"/>
      <c r="X11" s="7"/>
      <c r="Y11" s="6"/>
      <c r="Z11" s="6"/>
      <c r="AA11" s="6"/>
      <c r="AB11" s="6">
        <v>2</v>
      </c>
      <c r="AC11" s="6"/>
      <c r="AD11" s="5"/>
      <c r="AE11" s="7"/>
      <c r="AF11" s="7" t="s">
        <v>43</v>
      </c>
      <c r="AG11" s="7"/>
      <c r="AH11" s="6"/>
      <c r="AI11" s="6"/>
      <c r="AJ11" s="6"/>
      <c r="AK11" s="6">
        <v>2</v>
      </c>
      <c r="AL11" s="6">
        <v>2</v>
      </c>
      <c r="AM11" s="15">
        <f t="shared" ref="AM11:AM12" si="4">C11+L11+U11+AD11</f>
        <v>5</v>
      </c>
      <c r="AN11" s="19" t="str">
        <f>"2/4"</f>
        <v>2/4</v>
      </c>
      <c r="AO11" s="19" t="s">
        <v>44</v>
      </c>
      <c r="AP11" s="19" t="str">
        <f>"1/1"</f>
        <v>1/1</v>
      </c>
      <c r="AQ11" s="33">
        <f t="shared" si="1"/>
        <v>0</v>
      </c>
      <c r="AR11" s="21">
        <f t="shared" si="1"/>
        <v>1</v>
      </c>
      <c r="AS11" s="6">
        <f t="shared" si="0"/>
        <v>0</v>
      </c>
      <c r="AT11" s="22">
        <f t="shared" si="2"/>
        <v>1</v>
      </c>
      <c r="AU11" s="6">
        <f t="shared" si="3"/>
        <v>5</v>
      </c>
      <c r="AV11" s="38">
        <f t="shared" si="3"/>
        <v>2</v>
      </c>
    </row>
    <row r="12" spans="2:48" x14ac:dyDescent="0.25">
      <c r="B12" s="5" t="s">
        <v>15</v>
      </c>
      <c r="C12" s="5"/>
      <c r="D12" s="7"/>
      <c r="E12" s="7" t="s">
        <v>44</v>
      </c>
      <c r="F12" s="7"/>
      <c r="G12" s="6"/>
      <c r="H12" s="6">
        <v>1</v>
      </c>
      <c r="I12" s="6"/>
      <c r="J12" s="6">
        <v>1</v>
      </c>
      <c r="K12" s="6"/>
      <c r="L12" s="5"/>
      <c r="M12" s="7"/>
      <c r="N12" s="7"/>
      <c r="O12" s="7" t="s">
        <v>43</v>
      </c>
      <c r="P12" s="6"/>
      <c r="Q12" s="6">
        <v>1</v>
      </c>
      <c r="R12" s="6"/>
      <c r="S12" s="6">
        <v>1</v>
      </c>
      <c r="T12" s="6"/>
      <c r="U12" s="5"/>
      <c r="V12" s="7" t="s">
        <v>44</v>
      </c>
      <c r="W12" s="7"/>
      <c r="X12" s="7"/>
      <c r="Y12" s="6">
        <v>1</v>
      </c>
      <c r="Z12" s="6">
        <v>1</v>
      </c>
      <c r="AA12" s="6"/>
      <c r="AB12" s="6">
        <v>1</v>
      </c>
      <c r="AC12" s="6"/>
      <c r="AD12" s="5"/>
      <c r="AE12" s="7"/>
      <c r="AF12" s="7" t="s">
        <v>43</v>
      </c>
      <c r="AG12" s="7"/>
      <c r="AH12" s="6"/>
      <c r="AI12" s="6"/>
      <c r="AJ12" s="6"/>
      <c r="AK12" s="6">
        <v>2</v>
      </c>
      <c r="AL12" s="6">
        <v>1</v>
      </c>
      <c r="AM12" s="15">
        <f t="shared" si="4"/>
        <v>0</v>
      </c>
      <c r="AN12" s="19" t="s">
        <v>44</v>
      </c>
      <c r="AO12" s="19" t="s">
        <v>42</v>
      </c>
      <c r="AP12" s="19" t="s">
        <v>43</v>
      </c>
      <c r="AQ12" s="33">
        <f t="shared" si="1"/>
        <v>1</v>
      </c>
      <c r="AR12" s="21">
        <f t="shared" si="1"/>
        <v>3</v>
      </c>
      <c r="AS12" s="6">
        <f t="shared" si="0"/>
        <v>0</v>
      </c>
      <c r="AT12" s="22">
        <f t="shared" si="2"/>
        <v>3</v>
      </c>
      <c r="AU12" s="6">
        <f t="shared" si="3"/>
        <v>5</v>
      </c>
      <c r="AV12" s="38">
        <f t="shared" si="3"/>
        <v>1</v>
      </c>
    </row>
    <row r="13" spans="2:48" x14ac:dyDescent="0.25">
      <c r="B13" s="5" t="s">
        <v>13</v>
      </c>
      <c r="C13" s="5"/>
      <c r="D13" s="7"/>
      <c r="E13" s="7" t="s">
        <v>43</v>
      </c>
      <c r="F13" s="7"/>
      <c r="G13" s="6"/>
      <c r="H13" s="6"/>
      <c r="I13" s="6">
        <v>1</v>
      </c>
      <c r="J13" s="6">
        <v>2</v>
      </c>
      <c r="K13" s="6"/>
      <c r="L13" s="5"/>
      <c r="M13" s="7"/>
      <c r="N13" s="7" t="s">
        <v>44</v>
      </c>
      <c r="O13" s="7"/>
      <c r="P13" s="6"/>
      <c r="Q13" s="6">
        <v>1</v>
      </c>
      <c r="R13" s="6"/>
      <c r="S13" s="6"/>
      <c r="T13" s="6"/>
      <c r="U13" s="5"/>
      <c r="V13" s="7"/>
      <c r="W13" s="7"/>
      <c r="X13" s="7"/>
      <c r="Y13" s="6"/>
      <c r="Z13" s="6">
        <v>2</v>
      </c>
      <c r="AA13" s="6"/>
      <c r="AB13" s="6">
        <v>3</v>
      </c>
      <c r="AC13" s="6"/>
      <c r="AD13" s="5"/>
      <c r="AE13" s="7"/>
      <c r="AF13" s="7"/>
      <c r="AG13" s="7"/>
      <c r="AH13" s="6"/>
      <c r="AI13" s="6">
        <v>1</v>
      </c>
      <c r="AJ13" s="6"/>
      <c r="AK13" s="6">
        <v>1</v>
      </c>
      <c r="AL13" s="6"/>
      <c r="AM13" s="15">
        <f>C13+L13+U13+AD13</f>
        <v>0</v>
      </c>
      <c r="AN13" s="19"/>
      <c r="AO13" s="19" t="s">
        <v>42</v>
      </c>
      <c r="AP13" s="19"/>
      <c r="AQ13" s="33">
        <f t="shared" si="1"/>
        <v>0</v>
      </c>
      <c r="AR13" s="21">
        <f t="shared" si="1"/>
        <v>4</v>
      </c>
      <c r="AS13" s="6">
        <f t="shared" si="0"/>
        <v>1</v>
      </c>
      <c r="AT13" s="22">
        <f t="shared" si="2"/>
        <v>5</v>
      </c>
      <c r="AU13" s="6">
        <f t="shared" si="3"/>
        <v>6</v>
      </c>
      <c r="AV13" s="38">
        <f t="shared" si="3"/>
        <v>0</v>
      </c>
    </row>
    <row r="14" spans="2:48" x14ac:dyDescent="0.25">
      <c r="B14" s="5" t="s">
        <v>67</v>
      </c>
      <c r="C14" s="5"/>
      <c r="D14" s="7"/>
      <c r="E14" s="7"/>
      <c r="F14" s="7"/>
      <c r="G14" s="6"/>
      <c r="H14" s="6"/>
      <c r="I14" s="6"/>
      <c r="J14" s="6"/>
      <c r="K14" s="6"/>
      <c r="L14" s="5"/>
      <c r="M14" s="7"/>
      <c r="N14" s="7" t="s">
        <v>43</v>
      </c>
      <c r="O14" s="7"/>
      <c r="P14" s="6"/>
      <c r="Q14" s="6"/>
      <c r="R14" s="6"/>
      <c r="S14" s="6"/>
      <c r="T14" s="6"/>
      <c r="U14" s="5">
        <v>2</v>
      </c>
      <c r="V14" s="7" t="s">
        <v>43</v>
      </c>
      <c r="W14" s="7" t="str">
        <f>"1/1"</f>
        <v>1/1</v>
      </c>
      <c r="X14" s="7"/>
      <c r="Y14" s="6"/>
      <c r="Z14" s="6">
        <v>3</v>
      </c>
      <c r="AA14" s="6"/>
      <c r="AB14" s="6"/>
      <c r="AC14" s="6"/>
      <c r="AD14" s="5">
        <v>3</v>
      </c>
      <c r="AE14" s="7"/>
      <c r="AF14" s="7" t="s">
        <v>42</v>
      </c>
      <c r="AG14" s="7" t="str">
        <f>"1/1"</f>
        <v>1/1</v>
      </c>
      <c r="AH14" s="6"/>
      <c r="AI14" s="6"/>
      <c r="AJ14" s="6"/>
      <c r="AK14" s="6"/>
      <c r="AL14" s="6">
        <v>2</v>
      </c>
      <c r="AM14" s="15">
        <f>C14+L14+U14+AD14</f>
        <v>5</v>
      </c>
      <c r="AN14" s="19" t="s">
        <v>43</v>
      </c>
      <c r="AO14" s="19">
        <v>0.2</v>
      </c>
      <c r="AP14" s="19" t="str">
        <f>"1/1"</f>
        <v>1/1</v>
      </c>
      <c r="AQ14" s="33">
        <f t="shared" si="1"/>
        <v>0</v>
      </c>
      <c r="AR14" s="21">
        <f t="shared" si="1"/>
        <v>3</v>
      </c>
      <c r="AS14" s="6">
        <f t="shared" si="0"/>
        <v>0</v>
      </c>
      <c r="AT14" s="22">
        <f t="shared" si="2"/>
        <v>3</v>
      </c>
      <c r="AU14" s="6">
        <f t="shared" si="3"/>
        <v>0</v>
      </c>
      <c r="AV14" s="38">
        <f t="shared" si="3"/>
        <v>2</v>
      </c>
    </row>
    <row r="15" spans="2:48" x14ac:dyDescent="0.25">
      <c r="B15" s="5" t="s">
        <v>16</v>
      </c>
      <c r="C15" s="5"/>
      <c r="D15" s="7"/>
      <c r="E15" s="7" t="s">
        <v>44</v>
      </c>
      <c r="F15" s="7"/>
      <c r="G15" s="6"/>
      <c r="H15" s="6"/>
      <c r="I15" s="6"/>
      <c r="J15" s="6"/>
      <c r="K15" s="6">
        <v>2</v>
      </c>
      <c r="L15" s="5"/>
      <c r="M15" s="7"/>
      <c r="N15" s="7"/>
      <c r="O15" s="7"/>
      <c r="P15" s="6"/>
      <c r="Q15" s="6"/>
      <c r="R15" s="6"/>
      <c r="S15" s="6"/>
      <c r="T15" s="6"/>
      <c r="U15" s="5"/>
      <c r="V15" s="7"/>
      <c r="W15" s="7"/>
      <c r="X15" s="7"/>
      <c r="Y15" s="6"/>
      <c r="Z15" s="6"/>
      <c r="AA15" s="6"/>
      <c r="AB15" s="6"/>
      <c r="AC15" s="6"/>
      <c r="AD15" s="5"/>
      <c r="AE15" s="7"/>
      <c r="AF15" s="7"/>
      <c r="AG15" s="7"/>
      <c r="AH15" s="6"/>
      <c r="AI15" s="6">
        <v>1</v>
      </c>
      <c r="AJ15" s="6"/>
      <c r="AK15" s="6"/>
      <c r="AL15" s="6"/>
      <c r="AM15" s="15">
        <f>C15+L15+U15+AD15</f>
        <v>0</v>
      </c>
      <c r="AN15" s="19"/>
      <c r="AO15" s="19" t="s">
        <v>44</v>
      </c>
      <c r="AP15" s="19"/>
      <c r="AQ15" s="33">
        <f t="shared" si="1"/>
        <v>0</v>
      </c>
      <c r="AR15" s="21">
        <f t="shared" si="1"/>
        <v>1</v>
      </c>
      <c r="AS15" s="6">
        <f t="shared" si="0"/>
        <v>0</v>
      </c>
      <c r="AT15" s="22">
        <f t="shared" si="2"/>
        <v>1</v>
      </c>
      <c r="AU15" s="6">
        <f t="shared" si="3"/>
        <v>0</v>
      </c>
      <c r="AV15" s="38">
        <f t="shared" si="3"/>
        <v>2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1"/>
        <v>0</v>
      </c>
      <c r="AR16" s="21">
        <f t="shared" si="1"/>
        <v>0</v>
      </c>
      <c r="AS16" s="6">
        <f t="shared" si="0"/>
        <v>0</v>
      </c>
      <c r="AT16" s="22">
        <f t="shared" si="2"/>
        <v>0</v>
      </c>
      <c r="AU16" s="6">
        <f t="shared" si="3"/>
        <v>0</v>
      </c>
      <c r="AV16" s="38">
        <f t="shared" si="3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1"/>
        <v>0</v>
      </c>
      <c r="AR17" s="30">
        <f t="shared" si="1"/>
        <v>0</v>
      </c>
      <c r="AS17" s="4">
        <f t="shared" si="0"/>
        <v>0</v>
      </c>
      <c r="AT17" s="31">
        <f t="shared" si="2"/>
        <v>0</v>
      </c>
      <c r="AU17" s="4">
        <f t="shared" si="3"/>
        <v>0</v>
      </c>
      <c r="AV17" s="39">
        <f t="shared" si="3"/>
        <v>0</v>
      </c>
    </row>
    <row r="18" spans="2:48" s="9" customFormat="1" thickBot="1" x14ac:dyDescent="0.25">
      <c r="C18" s="11">
        <f>SUM(C7:C17)</f>
        <v>5</v>
      </c>
      <c r="D18" s="10" t="s">
        <v>44</v>
      </c>
      <c r="E18" s="10" t="str">
        <f>"1/14"</f>
        <v>1/14</v>
      </c>
      <c r="F18" s="10" t="str">
        <f>"1/2"</f>
        <v>1/2</v>
      </c>
      <c r="G18" s="9">
        <f>SUM(G7:G17)</f>
        <v>0</v>
      </c>
      <c r="H18" s="9">
        <f t="shared" ref="H18:K18" si="5">SUM(H7:H17)</f>
        <v>7</v>
      </c>
      <c r="I18" s="9">
        <f t="shared" si="5"/>
        <v>3</v>
      </c>
      <c r="J18" s="9">
        <f t="shared" si="5"/>
        <v>7</v>
      </c>
      <c r="K18" s="9">
        <f t="shared" si="5"/>
        <v>3</v>
      </c>
      <c r="L18" s="11">
        <f>SUM(L7:L17)</f>
        <v>15</v>
      </c>
      <c r="M18" s="10" t="str">
        <f>"4/9"</f>
        <v>4/9</v>
      </c>
      <c r="N18" s="10" t="str">
        <f>"4/14"</f>
        <v>4/14</v>
      </c>
      <c r="O18" s="47" t="str">
        <f>"1/4"</f>
        <v>1/4</v>
      </c>
      <c r="P18" s="9">
        <f>SUM(P7:P17)</f>
        <v>1</v>
      </c>
      <c r="Q18" s="9">
        <f t="shared" ref="Q18:T18" si="6">SUM(Q7:Q17)</f>
        <v>4</v>
      </c>
      <c r="R18" s="9">
        <f t="shared" si="6"/>
        <v>1</v>
      </c>
      <c r="S18" s="9">
        <f t="shared" si="6"/>
        <v>4</v>
      </c>
      <c r="T18" s="9">
        <f t="shared" si="6"/>
        <v>1</v>
      </c>
      <c r="U18" s="11">
        <f>SUM(U7:U17)</f>
        <v>13</v>
      </c>
      <c r="V18" s="10" t="str">
        <f>"1/10"</f>
        <v>1/10</v>
      </c>
      <c r="W18" s="10" t="str">
        <f>"6/14"</f>
        <v>6/14</v>
      </c>
      <c r="X18" s="10" t="s">
        <v>43</v>
      </c>
      <c r="Y18" s="9">
        <f>SUM(Y7:Y17)</f>
        <v>2</v>
      </c>
      <c r="Z18" s="9">
        <f t="shared" ref="Z18:AC18" si="7">SUM(Z7:Z17)</f>
        <v>14</v>
      </c>
      <c r="AA18" s="9">
        <f t="shared" si="7"/>
        <v>7</v>
      </c>
      <c r="AB18" s="9">
        <f t="shared" si="7"/>
        <v>8</v>
      </c>
      <c r="AC18" s="9">
        <f t="shared" si="7"/>
        <v>2</v>
      </c>
      <c r="AD18" s="11">
        <f>SUM(AD7:AD17)</f>
        <v>11</v>
      </c>
      <c r="AE18" s="10"/>
      <c r="AF18" s="10" t="str">
        <f>"4/15"</f>
        <v>4/15</v>
      </c>
      <c r="AG18" s="10" t="str">
        <f>"1/2"</f>
        <v>1/2</v>
      </c>
      <c r="AH18" s="9">
        <f>SUM(AH7:AH17)</f>
        <v>0</v>
      </c>
      <c r="AI18" s="9">
        <f t="shared" ref="AI18:AL18" si="8">SUM(AI7:AI17)</f>
        <v>6</v>
      </c>
      <c r="AJ18" s="9">
        <f t="shared" si="8"/>
        <v>1</v>
      </c>
      <c r="AK18" s="9">
        <f t="shared" si="8"/>
        <v>7</v>
      </c>
      <c r="AL18" s="9">
        <f t="shared" si="8"/>
        <v>5</v>
      </c>
      <c r="AM18" s="12">
        <f>SUM(AM7:AM17)</f>
        <v>44</v>
      </c>
      <c r="AN18" s="13" t="str">
        <f>"5/21"</f>
        <v>5/21</v>
      </c>
      <c r="AO18" s="13" t="str">
        <f>"15/57"</f>
        <v>15/57</v>
      </c>
      <c r="AP18" s="13" t="str">
        <f>"3/9"</f>
        <v>3/9</v>
      </c>
      <c r="AQ18" s="11">
        <f t="shared" ref="AQ18:AV18" si="9">SUM(AQ7:AQ17)</f>
        <v>3</v>
      </c>
      <c r="AR18" s="11">
        <f t="shared" si="9"/>
        <v>31</v>
      </c>
      <c r="AS18" s="11">
        <f t="shared" si="9"/>
        <v>12</v>
      </c>
      <c r="AT18" s="11">
        <f t="shared" si="9"/>
        <v>43</v>
      </c>
      <c r="AU18" s="11">
        <f t="shared" si="9"/>
        <v>26</v>
      </c>
      <c r="AV18" s="11">
        <f t="shared" si="9"/>
        <v>11</v>
      </c>
    </row>
    <row r="19" spans="2:48" s="40" customFormat="1" thickBot="1" x14ac:dyDescent="0.25">
      <c r="B19" s="40" t="s">
        <v>54</v>
      </c>
      <c r="F19" s="67" t="str">
        <f>"5/12"</f>
        <v>5/12</v>
      </c>
      <c r="G19" s="68"/>
      <c r="H19" s="68"/>
      <c r="I19" s="68"/>
      <c r="J19" s="68"/>
      <c r="K19" s="69"/>
      <c r="O19" s="67" t="str">
        <f>"15/22"</f>
        <v>15/22</v>
      </c>
      <c r="P19" s="68"/>
      <c r="Q19" s="68"/>
      <c r="R19" s="68"/>
      <c r="S19" s="68"/>
      <c r="T19" s="69"/>
      <c r="X19" s="67" t="str">
        <f>"13/16"</f>
        <v>13/16</v>
      </c>
      <c r="Y19" s="68"/>
      <c r="Z19" s="68"/>
      <c r="AA19" s="68"/>
      <c r="AB19" s="68"/>
      <c r="AC19" s="69"/>
      <c r="AG19" s="67" t="str">
        <f>"11/21"</f>
        <v>11/21</v>
      </c>
      <c r="AH19" s="68"/>
      <c r="AI19" s="68"/>
      <c r="AJ19" s="68"/>
      <c r="AK19" s="68"/>
      <c r="AL19" s="69"/>
      <c r="AN19" s="14">
        <f>5/21</f>
        <v>0.23809523809523808</v>
      </c>
      <c r="AO19" s="14">
        <f>15/57</f>
        <v>0.26315789473684209</v>
      </c>
      <c r="AP19" s="14">
        <f>3/9</f>
        <v>0.33333333333333331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"20/34"</f>
        <v>20/34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"33/50"</f>
        <v>33/50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64</v>
      </c>
      <c r="AN21" s="42" t="s">
        <v>65</v>
      </c>
      <c r="AO21" s="42" t="s">
        <v>66</v>
      </c>
      <c r="AP21" s="42" t="s">
        <v>52</v>
      </c>
      <c r="AQ21" s="43">
        <v>2</v>
      </c>
      <c r="AR21" s="43">
        <v>20</v>
      </c>
      <c r="AS21" s="43">
        <v>10</v>
      </c>
      <c r="AT21" s="43">
        <v>30</v>
      </c>
      <c r="AU21" s="43">
        <v>24</v>
      </c>
      <c r="AV21" s="43">
        <v>3</v>
      </c>
    </row>
    <row r="22" spans="2:48" x14ac:dyDescent="0.25">
      <c r="C22" s="1" t="s">
        <v>20</v>
      </c>
      <c r="D22" s="1" t="s">
        <v>27</v>
      </c>
      <c r="AN22" s="14">
        <v>0.23076923076923078</v>
      </c>
      <c r="AO22" s="14">
        <v>0.2857142857142857</v>
      </c>
      <c r="AP22" s="14">
        <v>1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58</v>
      </c>
      <c r="AN24" s="42" t="s">
        <v>59</v>
      </c>
      <c r="AO24" s="42" t="s">
        <v>60</v>
      </c>
      <c r="AP24" s="42" t="s">
        <v>61</v>
      </c>
      <c r="AQ24" s="43">
        <v>5</v>
      </c>
      <c r="AR24" s="43">
        <v>31</v>
      </c>
      <c r="AS24" s="43">
        <v>8</v>
      </c>
      <c r="AT24" s="43">
        <v>39</v>
      </c>
      <c r="AU24" s="43">
        <v>22</v>
      </c>
      <c r="AV24" s="43">
        <v>6</v>
      </c>
    </row>
    <row r="25" spans="2:48" x14ac:dyDescent="0.25">
      <c r="C25" s="40" t="s">
        <v>23</v>
      </c>
      <c r="D25" s="40" t="s">
        <v>31</v>
      </c>
      <c r="E25" s="40"/>
      <c r="AN25" s="14">
        <v>0.52631578947368418</v>
      </c>
      <c r="AO25" s="14">
        <v>0.40740740740740738</v>
      </c>
      <c r="AP25" s="14">
        <v>0.5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53</v>
      </c>
      <c r="AN27" s="42" t="s">
        <v>49</v>
      </c>
      <c r="AO27" s="42" t="s">
        <v>50</v>
      </c>
      <c r="AP27" s="42" t="s">
        <v>51</v>
      </c>
      <c r="AQ27" s="43">
        <v>5</v>
      </c>
      <c r="AR27" s="43">
        <v>24</v>
      </c>
      <c r="AS27" s="43">
        <v>6</v>
      </c>
      <c r="AT27" s="43">
        <v>30</v>
      </c>
      <c r="AU27" s="43">
        <v>29</v>
      </c>
      <c r="AV27" s="43">
        <v>9</v>
      </c>
    </row>
    <row r="28" spans="2:48" x14ac:dyDescent="0.25">
      <c r="AN28" s="14">
        <v>0.53846153846153844</v>
      </c>
      <c r="AO28" s="14">
        <v>0.33333333333333331</v>
      </c>
      <c r="AP28" s="14">
        <v>0.33333333333333331</v>
      </c>
    </row>
    <row r="30" spans="2:48" x14ac:dyDescent="0.25">
      <c r="AG30" s="1" t="s">
        <v>46</v>
      </c>
      <c r="AN30" s="42" t="str">
        <f>"8/16"</f>
        <v>8/16</v>
      </c>
      <c r="AO30" s="42" t="str">
        <f>"11/38"</f>
        <v>11/38</v>
      </c>
      <c r="AP30" s="42" t="str">
        <f>"1/1"</f>
        <v>1/1</v>
      </c>
      <c r="AQ30" s="43">
        <v>3</v>
      </c>
      <c r="AR30" s="43">
        <v>16</v>
      </c>
      <c r="AS30" s="43">
        <v>7</v>
      </c>
      <c r="AT30" s="43">
        <v>23</v>
      </c>
      <c r="AU30" s="43">
        <v>37</v>
      </c>
      <c r="AV30" s="43">
        <v>18</v>
      </c>
    </row>
    <row r="31" spans="2:48" x14ac:dyDescent="0.25">
      <c r="AN31" s="14">
        <f>8/16</f>
        <v>0.5</v>
      </c>
      <c r="AO31" s="14">
        <f>11/38</f>
        <v>0.28947368421052633</v>
      </c>
      <c r="AP31" s="14">
        <f>1/1</f>
        <v>1</v>
      </c>
    </row>
  </sheetData>
  <mergeCells count="15">
    <mergeCell ref="AM5:AV5"/>
    <mergeCell ref="F19:K19"/>
    <mergeCell ref="O19:T19"/>
    <mergeCell ref="X19:AC19"/>
    <mergeCell ref="AG19:AL19"/>
    <mergeCell ref="AD5:AL5"/>
    <mergeCell ref="L20:N20"/>
    <mergeCell ref="O20:T20"/>
    <mergeCell ref="U20:W20"/>
    <mergeCell ref="X20:AC20"/>
    <mergeCell ref="K2:N2"/>
    <mergeCell ref="W2:X2"/>
    <mergeCell ref="C5:K5"/>
    <mergeCell ref="L5:T5"/>
    <mergeCell ref="U5:A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V34"/>
  <sheetViews>
    <sheetView workbookViewId="0">
      <selection activeCell="AT9" sqref="AT9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4.425781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3.28515625" style="1" bestFit="1" customWidth="1"/>
    <col min="39" max="39" width="3.7109375" style="1" bestFit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69</v>
      </c>
      <c r="I2" s="40" t="s">
        <v>38</v>
      </c>
      <c r="K2" s="52">
        <v>43079</v>
      </c>
      <c r="L2" s="52"/>
      <c r="M2" s="52"/>
      <c r="N2" s="52"/>
      <c r="Q2" s="45" t="s">
        <v>47</v>
      </c>
      <c r="W2" s="65" t="str">
        <f>"87/47"</f>
        <v>87/47</v>
      </c>
      <c r="X2" s="66"/>
    </row>
    <row r="3" spans="2:48" x14ac:dyDescent="0.25">
      <c r="B3" s="40" t="s">
        <v>36</v>
      </c>
      <c r="C3" s="1" t="s">
        <v>37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/>
      <c r="D7" s="7"/>
      <c r="E7" s="7" t="s">
        <v>44</v>
      </c>
      <c r="F7" s="7"/>
      <c r="G7" s="6"/>
      <c r="H7" s="6">
        <v>3</v>
      </c>
      <c r="I7" s="6"/>
      <c r="J7" s="6">
        <v>1</v>
      </c>
      <c r="K7" s="6"/>
      <c r="L7" s="5">
        <v>4</v>
      </c>
      <c r="M7" s="7" t="s">
        <v>42</v>
      </c>
      <c r="N7" s="7">
        <v>0.4</v>
      </c>
      <c r="O7" s="7"/>
      <c r="P7" s="6"/>
      <c r="Q7" s="6">
        <v>2</v>
      </c>
      <c r="R7" s="6"/>
      <c r="S7" s="6"/>
      <c r="T7" s="6">
        <v>1</v>
      </c>
      <c r="U7" s="5">
        <v>2</v>
      </c>
      <c r="V7" s="7"/>
      <c r="W7" s="7">
        <v>0.33333333333333331</v>
      </c>
      <c r="X7" s="7"/>
      <c r="Y7" s="6"/>
      <c r="Z7" s="6">
        <v>2</v>
      </c>
      <c r="AA7" s="6">
        <v>2</v>
      </c>
      <c r="AB7" s="6"/>
      <c r="AC7" s="6"/>
      <c r="AD7" s="5">
        <v>4</v>
      </c>
      <c r="AE7" s="7"/>
      <c r="AF7" s="7" t="str">
        <f>"2/4"</f>
        <v>2/4</v>
      </c>
      <c r="AG7" s="7"/>
      <c r="AH7" s="6"/>
      <c r="AI7" s="6">
        <v>2</v>
      </c>
      <c r="AJ7" s="6">
        <v>1</v>
      </c>
      <c r="AK7" s="6">
        <v>1</v>
      </c>
      <c r="AL7" s="6"/>
      <c r="AM7" s="25">
        <f>C7+L7+U7+AD7</f>
        <v>10</v>
      </c>
      <c r="AN7" s="26" t="s">
        <v>42</v>
      </c>
      <c r="AO7" s="26" t="str">
        <f>"5/14"</f>
        <v>5/14</v>
      </c>
      <c r="AP7" s="26"/>
      <c r="AQ7" s="32">
        <f>G7+P7+Y7+AH7</f>
        <v>0</v>
      </c>
      <c r="AR7" s="28">
        <f>H7+Q7+Z7+AI7</f>
        <v>9</v>
      </c>
      <c r="AS7" s="27">
        <f t="shared" ref="AS7:AS17" si="0">I7+R7+AA7+AJ7</f>
        <v>3</v>
      </c>
      <c r="AT7" s="29">
        <f>AR7+AS7</f>
        <v>12</v>
      </c>
      <c r="AU7" s="27">
        <f>J7+S7+AB7+AK7</f>
        <v>2</v>
      </c>
      <c r="AV7" s="37">
        <f>K7+T7+AC7+AL7</f>
        <v>1</v>
      </c>
    </row>
    <row r="8" spans="2:48" x14ac:dyDescent="0.25">
      <c r="B8" s="5" t="s">
        <v>12</v>
      </c>
      <c r="C8" s="5"/>
      <c r="D8" s="7"/>
      <c r="E8" s="7"/>
      <c r="F8" s="7"/>
      <c r="G8" s="6"/>
      <c r="H8" s="6">
        <v>1</v>
      </c>
      <c r="I8" s="6"/>
      <c r="J8" s="6"/>
      <c r="K8" s="6"/>
      <c r="L8" s="5"/>
      <c r="M8" s="7"/>
      <c r="N8" s="7"/>
      <c r="O8" s="7"/>
      <c r="P8" s="6"/>
      <c r="Q8" s="6"/>
      <c r="R8" s="6"/>
      <c r="S8" s="6"/>
      <c r="T8" s="6"/>
      <c r="U8" s="5"/>
      <c r="V8" s="7"/>
      <c r="W8" s="7" t="s">
        <v>43</v>
      </c>
      <c r="X8" s="7" t="s">
        <v>43</v>
      </c>
      <c r="Y8" s="6"/>
      <c r="Z8" s="6">
        <v>2</v>
      </c>
      <c r="AA8" s="6"/>
      <c r="AB8" s="6">
        <v>1</v>
      </c>
      <c r="AC8" s="6"/>
      <c r="AD8" s="5"/>
      <c r="AE8" s="7"/>
      <c r="AF8" s="7" t="s">
        <v>42</v>
      </c>
      <c r="AG8" s="7"/>
      <c r="AH8" s="6"/>
      <c r="AI8" s="6">
        <v>2</v>
      </c>
      <c r="AJ8" s="6">
        <v>1</v>
      </c>
      <c r="AK8" s="6">
        <v>1</v>
      </c>
      <c r="AL8" s="6">
        <v>2</v>
      </c>
      <c r="AM8" s="15">
        <f>C8+L8+U8+AD8</f>
        <v>0</v>
      </c>
      <c r="AN8" s="19"/>
      <c r="AO8" s="19" t="s">
        <v>62</v>
      </c>
      <c r="AP8" s="19" t="s">
        <v>43</v>
      </c>
      <c r="AQ8" s="33">
        <f t="shared" ref="AQ8:AR17" si="1">G8+P8+Y8+AH8</f>
        <v>0</v>
      </c>
      <c r="AR8" s="21">
        <f>H8+Q8+Z8+AI8</f>
        <v>5</v>
      </c>
      <c r="AS8" s="6">
        <f>I8+R8+AA8+AJ8</f>
        <v>1</v>
      </c>
      <c r="AT8" s="22">
        <f>AR8+AS8</f>
        <v>6</v>
      </c>
      <c r="AU8" s="6">
        <f t="shared" ref="AU8:AV17" si="2">J8+S8+AB8+AK8</f>
        <v>2</v>
      </c>
      <c r="AV8" s="38">
        <f t="shared" si="2"/>
        <v>2</v>
      </c>
    </row>
    <row r="9" spans="2:48" x14ac:dyDescent="0.25">
      <c r="B9" s="5" t="s">
        <v>10</v>
      </c>
      <c r="C9" s="5"/>
      <c r="D9" s="7"/>
      <c r="E9" s="7" t="s">
        <v>43</v>
      </c>
      <c r="F9" s="7"/>
      <c r="G9" s="6"/>
      <c r="H9" s="6">
        <v>1</v>
      </c>
      <c r="I9" s="6"/>
      <c r="J9" s="6">
        <v>2</v>
      </c>
      <c r="K9" s="6"/>
      <c r="L9" s="5">
        <v>2</v>
      </c>
      <c r="M9" s="7"/>
      <c r="N9" s="7" t="str">
        <f>"1/2"</f>
        <v>1/2</v>
      </c>
      <c r="O9" s="7"/>
      <c r="P9" s="6"/>
      <c r="Q9" s="6"/>
      <c r="R9" s="6"/>
      <c r="S9" s="6"/>
      <c r="T9" s="6"/>
      <c r="U9" s="5"/>
      <c r="V9" s="7"/>
      <c r="W9" s="7" t="s">
        <v>44</v>
      </c>
      <c r="X9" s="7"/>
      <c r="Y9" s="6"/>
      <c r="Z9" s="6">
        <v>1</v>
      </c>
      <c r="AA9" s="6"/>
      <c r="AB9" s="6">
        <v>1</v>
      </c>
      <c r="AC9" s="6"/>
      <c r="AD9" s="5">
        <v>2</v>
      </c>
      <c r="AE9" s="7" t="str">
        <f>"2/2"</f>
        <v>2/2</v>
      </c>
      <c r="AF9" s="7"/>
      <c r="AG9" s="7"/>
      <c r="AH9" s="6"/>
      <c r="AI9" s="6"/>
      <c r="AJ9" s="6"/>
      <c r="AK9" s="6"/>
      <c r="AL9" s="6"/>
      <c r="AM9" s="15">
        <f>C9+L9+U9+AD9</f>
        <v>4</v>
      </c>
      <c r="AN9" s="19" t="str">
        <f>"2/2"</f>
        <v>2/2</v>
      </c>
      <c r="AO9" s="19">
        <v>0.2</v>
      </c>
      <c r="AP9" s="19"/>
      <c r="AQ9" s="33">
        <f t="shared" si="1"/>
        <v>0</v>
      </c>
      <c r="AR9" s="21">
        <f t="shared" si="1"/>
        <v>2</v>
      </c>
      <c r="AS9" s="6">
        <f t="shared" si="0"/>
        <v>0</v>
      </c>
      <c r="AT9" s="22">
        <f t="shared" ref="AT9:AT17" si="3">AR9+AS9</f>
        <v>2</v>
      </c>
      <c r="AU9" s="6">
        <f t="shared" si="2"/>
        <v>3</v>
      </c>
      <c r="AV9" s="38">
        <f t="shared" si="2"/>
        <v>0</v>
      </c>
    </row>
    <row r="10" spans="2:48" x14ac:dyDescent="0.25">
      <c r="B10" s="5" t="s">
        <v>41</v>
      </c>
      <c r="C10" s="5">
        <v>8</v>
      </c>
      <c r="D10" s="7" t="str">
        <f>"1/2"</f>
        <v>1/2</v>
      </c>
      <c r="E10" s="7" t="str">
        <f>"2/3"</f>
        <v>2/3</v>
      </c>
      <c r="F10" s="7" t="str">
        <f>"1/1"</f>
        <v>1/1</v>
      </c>
      <c r="G10" s="6"/>
      <c r="H10" s="6">
        <v>2</v>
      </c>
      <c r="I10" s="6"/>
      <c r="J10" s="6">
        <v>4</v>
      </c>
      <c r="K10" s="6"/>
      <c r="L10" s="5"/>
      <c r="M10" s="7"/>
      <c r="N10" s="7" t="s">
        <v>44</v>
      </c>
      <c r="O10" s="7"/>
      <c r="P10" s="6"/>
      <c r="Q10" s="6">
        <v>2</v>
      </c>
      <c r="R10" s="6"/>
      <c r="S10" s="6">
        <v>1</v>
      </c>
      <c r="T10" s="6"/>
      <c r="U10" s="5">
        <v>2</v>
      </c>
      <c r="V10" s="7" t="s">
        <v>44</v>
      </c>
      <c r="W10" s="7" t="str">
        <f>"1/2"</f>
        <v>1/2</v>
      </c>
      <c r="X10" s="7" t="s">
        <v>43</v>
      </c>
      <c r="Y10" s="6"/>
      <c r="Z10" s="6">
        <v>1</v>
      </c>
      <c r="AA10" s="6"/>
      <c r="AB10" s="6">
        <v>3</v>
      </c>
      <c r="AC10" s="6">
        <v>1</v>
      </c>
      <c r="AD10" s="5">
        <v>4</v>
      </c>
      <c r="AE10" s="7" t="s">
        <v>43</v>
      </c>
      <c r="AF10" s="7" t="str">
        <f>"2/4"</f>
        <v>2/4</v>
      </c>
      <c r="AG10" s="7" t="s">
        <v>43</v>
      </c>
      <c r="AH10" s="6"/>
      <c r="AI10" s="6"/>
      <c r="AJ10" s="6"/>
      <c r="AK10" s="6"/>
      <c r="AL10" s="6">
        <v>1</v>
      </c>
      <c r="AM10" s="15">
        <f>C10+L10+U10+AD10</f>
        <v>14</v>
      </c>
      <c r="AN10" s="19">
        <v>0.2</v>
      </c>
      <c r="AO10" s="19" t="str">
        <f>"5/11"</f>
        <v>5/11</v>
      </c>
      <c r="AP10" s="19">
        <v>0.33333333333333331</v>
      </c>
      <c r="AQ10" s="33">
        <f t="shared" si="1"/>
        <v>0</v>
      </c>
      <c r="AR10" s="21">
        <f t="shared" si="1"/>
        <v>5</v>
      </c>
      <c r="AS10" s="6">
        <f t="shared" si="0"/>
        <v>0</v>
      </c>
      <c r="AT10" s="22">
        <f t="shared" si="3"/>
        <v>5</v>
      </c>
      <c r="AU10" s="6">
        <f t="shared" si="2"/>
        <v>8</v>
      </c>
      <c r="AV10" s="38">
        <f t="shared" si="2"/>
        <v>2</v>
      </c>
    </row>
    <row r="11" spans="2:48" x14ac:dyDescent="0.25">
      <c r="B11" s="5" t="s">
        <v>68</v>
      </c>
      <c r="C11" s="5">
        <v>3</v>
      </c>
      <c r="D11" s="7"/>
      <c r="E11" s="7"/>
      <c r="F11" s="7" t="str">
        <f>"1/1"</f>
        <v>1/1</v>
      </c>
      <c r="G11" s="6"/>
      <c r="H11" s="6">
        <v>2</v>
      </c>
      <c r="I11" s="6"/>
      <c r="J11" s="6">
        <v>4</v>
      </c>
      <c r="K11" s="6">
        <v>1</v>
      </c>
      <c r="L11" s="5"/>
      <c r="M11" s="7"/>
      <c r="N11" s="7" t="s">
        <v>44</v>
      </c>
      <c r="O11" s="7"/>
      <c r="P11" s="6"/>
      <c r="Q11" s="6"/>
      <c r="R11" s="6"/>
      <c r="S11" s="6">
        <v>2</v>
      </c>
      <c r="T11" s="6"/>
      <c r="U11" s="5"/>
      <c r="V11" s="7"/>
      <c r="W11" s="7"/>
      <c r="X11" s="7"/>
      <c r="Y11" s="6"/>
      <c r="Z11" s="6">
        <v>1</v>
      </c>
      <c r="AA11" s="6"/>
      <c r="AB11" s="6">
        <v>2</v>
      </c>
      <c r="AC11" s="6"/>
      <c r="AD11" s="5"/>
      <c r="AE11" s="7"/>
      <c r="AF11" s="7"/>
      <c r="AG11" s="7"/>
      <c r="AH11" s="6"/>
      <c r="AI11" s="6"/>
      <c r="AJ11" s="6"/>
      <c r="AK11" s="6">
        <v>1</v>
      </c>
      <c r="AL11" s="6"/>
      <c r="AM11" s="15">
        <f t="shared" ref="AM11:AM12" si="4">C11+L11+U11+AD11</f>
        <v>3</v>
      </c>
      <c r="AN11" s="19"/>
      <c r="AO11" s="19" t="s">
        <v>44</v>
      </c>
      <c r="AP11" s="19" t="str">
        <f>"1/1"</f>
        <v>1/1</v>
      </c>
      <c r="AQ11" s="33">
        <f t="shared" si="1"/>
        <v>0</v>
      </c>
      <c r="AR11" s="21">
        <f t="shared" si="1"/>
        <v>3</v>
      </c>
      <c r="AS11" s="6">
        <f t="shared" si="0"/>
        <v>0</v>
      </c>
      <c r="AT11" s="22">
        <f t="shared" si="3"/>
        <v>3</v>
      </c>
      <c r="AU11" s="6">
        <f t="shared" si="2"/>
        <v>9</v>
      </c>
      <c r="AV11" s="38">
        <f t="shared" si="2"/>
        <v>1</v>
      </c>
    </row>
    <row r="12" spans="2:48" x14ac:dyDescent="0.25">
      <c r="B12" s="5" t="s">
        <v>15</v>
      </c>
      <c r="C12" s="5"/>
      <c r="D12" s="7"/>
      <c r="E12" s="7"/>
      <c r="F12" s="7"/>
      <c r="G12" s="6"/>
      <c r="H12" s="6">
        <v>2</v>
      </c>
      <c r="I12" s="6"/>
      <c r="J12" s="6">
        <v>4</v>
      </c>
      <c r="K12" s="6"/>
      <c r="L12" s="5"/>
      <c r="M12" s="7" t="s">
        <v>44</v>
      </c>
      <c r="N12" s="7" t="s">
        <v>44</v>
      </c>
      <c r="O12" s="7" t="s">
        <v>44</v>
      </c>
      <c r="P12" s="6"/>
      <c r="Q12" s="6">
        <v>1</v>
      </c>
      <c r="R12" s="6"/>
      <c r="S12" s="6">
        <v>1</v>
      </c>
      <c r="T12" s="6"/>
      <c r="U12" s="5">
        <v>7</v>
      </c>
      <c r="V12" s="7"/>
      <c r="W12" s="7">
        <v>0.66666666666666663</v>
      </c>
      <c r="X12" s="7" t="str">
        <f>"1/1"</f>
        <v>1/1</v>
      </c>
      <c r="Y12" s="6"/>
      <c r="Z12" s="6"/>
      <c r="AA12" s="6"/>
      <c r="AB12" s="6">
        <v>1</v>
      </c>
      <c r="AC12" s="6"/>
      <c r="AD12" s="5">
        <v>4</v>
      </c>
      <c r="AE12" s="7"/>
      <c r="AF12" s="7">
        <v>0.66666666666666663</v>
      </c>
      <c r="AG12" s="7"/>
      <c r="AH12" s="6">
        <v>1</v>
      </c>
      <c r="AI12" s="6"/>
      <c r="AJ12" s="6"/>
      <c r="AK12" s="6"/>
      <c r="AL12" s="6"/>
      <c r="AM12" s="15">
        <f t="shared" si="4"/>
        <v>11</v>
      </c>
      <c r="AN12" s="19" t="s">
        <v>44</v>
      </c>
      <c r="AO12" s="19" t="str">
        <f>"4/8"</f>
        <v>4/8</v>
      </c>
      <c r="AP12" s="19">
        <v>0.33333333333333331</v>
      </c>
      <c r="AQ12" s="33">
        <f t="shared" si="1"/>
        <v>1</v>
      </c>
      <c r="AR12" s="21">
        <f t="shared" si="1"/>
        <v>3</v>
      </c>
      <c r="AS12" s="6">
        <f t="shared" si="0"/>
        <v>0</v>
      </c>
      <c r="AT12" s="22">
        <f t="shared" si="3"/>
        <v>3</v>
      </c>
      <c r="AU12" s="6">
        <f t="shared" si="2"/>
        <v>6</v>
      </c>
      <c r="AV12" s="38">
        <f t="shared" si="2"/>
        <v>0</v>
      </c>
    </row>
    <row r="13" spans="2:48" x14ac:dyDescent="0.25">
      <c r="B13" s="5" t="s">
        <v>13</v>
      </c>
      <c r="C13" s="5"/>
      <c r="D13" s="7" t="s">
        <v>44</v>
      </c>
      <c r="E13" s="7" t="s">
        <v>43</v>
      </c>
      <c r="F13" s="7"/>
      <c r="G13" s="6"/>
      <c r="H13" s="6"/>
      <c r="I13" s="6"/>
      <c r="J13" s="6">
        <v>2</v>
      </c>
      <c r="K13" s="6"/>
      <c r="L13" s="5"/>
      <c r="M13" s="7"/>
      <c r="N13" s="7" t="s">
        <v>44</v>
      </c>
      <c r="O13" s="7"/>
      <c r="P13" s="6"/>
      <c r="Q13" s="6">
        <v>1</v>
      </c>
      <c r="R13" s="6"/>
      <c r="S13" s="6">
        <v>1</v>
      </c>
      <c r="T13" s="6"/>
      <c r="U13" s="5"/>
      <c r="V13" s="7"/>
      <c r="W13" s="7"/>
      <c r="X13" s="7"/>
      <c r="Y13" s="6"/>
      <c r="Z13" s="6"/>
      <c r="AA13" s="6"/>
      <c r="AB13" s="6"/>
      <c r="AC13" s="6"/>
      <c r="AD13" s="5">
        <v>2</v>
      </c>
      <c r="AE13" s="7"/>
      <c r="AF13" s="7" t="str">
        <f>"1/1"</f>
        <v>1/1</v>
      </c>
      <c r="AG13" s="7"/>
      <c r="AH13" s="6"/>
      <c r="AI13" s="6">
        <v>1</v>
      </c>
      <c r="AJ13" s="6"/>
      <c r="AK13" s="6"/>
      <c r="AL13" s="6"/>
      <c r="AM13" s="15">
        <f>C13+L13+U13+AD13</f>
        <v>2</v>
      </c>
      <c r="AN13" s="19" t="s">
        <v>44</v>
      </c>
      <c r="AO13" s="19">
        <v>0.25</v>
      </c>
      <c r="AP13" s="19"/>
      <c r="AQ13" s="33">
        <f t="shared" si="1"/>
        <v>0</v>
      </c>
      <c r="AR13" s="21">
        <f t="shared" si="1"/>
        <v>2</v>
      </c>
      <c r="AS13" s="6">
        <f t="shared" si="0"/>
        <v>0</v>
      </c>
      <c r="AT13" s="22">
        <f t="shared" si="3"/>
        <v>2</v>
      </c>
      <c r="AU13" s="6">
        <f t="shared" si="2"/>
        <v>3</v>
      </c>
      <c r="AV13" s="38">
        <f t="shared" si="2"/>
        <v>0</v>
      </c>
    </row>
    <row r="14" spans="2:48" x14ac:dyDescent="0.25">
      <c r="B14" s="5" t="s">
        <v>74</v>
      </c>
      <c r="C14" s="5"/>
      <c r="D14" s="7"/>
      <c r="E14" s="7"/>
      <c r="F14" s="7"/>
      <c r="G14" s="6"/>
      <c r="H14" s="6"/>
      <c r="I14" s="6"/>
      <c r="J14" s="6"/>
      <c r="K14" s="6"/>
      <c r="L14" s="5"/>
      <c r="M14" s="7"/>
      <c r="N14" s="7"/>
      <c r="O14" s="7"/>
      <c r="P14" s="6"/>
      <c r="Q14" s="6"/>
      <c r="R14" s="6"/>
      <c r="S14" s="6"/>
      <c r="T14" s="6"/>
      <c r="U14" s="5"/>
      <c r="V14" s="7"/>
      <c r="W14" s="7"/>
      <c r="X14" s="7"/>
      <c r="Y14" s="6"/>
      <c r="Z14" s="6"/>
      <c r="AA14" s="6"/>
      <c r="AB14" s="6"/>
      <c r="AC14" s="6"/>
      <c r="AD14" s="5"/>
      <c r="AE14" s="7"/>
      <c r="AF14" s="7"/>
      <c r="AG14" s="7"/>
      <c r="AH14" s="6"/>
      <c r="AI14" s="6"/>
      <c r="AJ14" s="6"/>
      <c r="AK14" s="6"/>
      <c r="AL14" s="6"/>
      <c r="AM14" s="15">
        <f>C14+L14+U14+AD14</f>
        <v>0</v>
      </c>
      <c r="AN14" s="19"/>
      <c r="AO14" s="19"/>
      <c r="AP14" s="19"/>
      <c r="AQ14" s="33">
        <f t="shared" si="1"/>
        <v>0</v>
      </c>
      <c r="AR14" s="21">
        <f t="shared" si="1"/>
        <v>0</v>
      </c>
      <c r="AS14" s="6">
        <f t="shared" si="0"/>
        <v>0</v>
      </c>
      <c r="AT14" s="22">
        <f t="shared" si="3"/>
        <v>0</v>
      </c>
      <c r="AU14" s="6">
        <f t="shared" si="2"/>
        <v>0</v>
      </c>
      <c r="AV14" s="38">
        <f t="shared" si="2"/>
        <v>0</v>
      </c>
    </row>
    <row r="15" spans="2:48" x14ac:dyDescent="0.25">
      <c r="B15" s="5" t="s">
        <v>16</v>
      </c>
      <c r="C15" s="5"/>
      <c r="D15" s="7"/>
      <c r="E15" s="7"/>
      <c r="F15" s="7"/>
      <c r="G15" s="6"/>
      <c r="H15" s="6"/>
      <c r="I15" s="6"/>
      <c r="J15" s="6"/>
      <c r="K15" s="6">
        <v>1</v>
      </c>
      <c r="L15" s="5">
        <v>3</v>
      </c>
      <c r="M15" s="7"/>
      <c r="N15" s="7"/>
      <c r="O15" s="7" t="str">
        <f>"1/1"</f>
        <v>1/1</v>
      </c>
      <c r="P15" s="6"/>
      <c r="Q15" s="6">
        <v>1</v>
      </c>
      <c r="R15" s="6">
        <v>1</v>
      </c>
      <c r="S15" s="6">
        <v>1</v>
      </c>
      <c r="T15" s="6">
        <v>3</v>
      </c>
      <c r="U15" s="5"/>
      <c r="V15" s="7"/>
      <c r="W15" s="7"/>
      <c r="X15" s="7"/>
      <c r="Y15" s="6"/>
      <c r="Z15" s="6"/>
      <c r="AA15" s="6"/>
      <c r="AB15" s="6"/>
      <c r="AC15" s="6"/>
      <c r="AD15" s="5"/>
      <c r="AE15" s="7"/>
      <c r="AF15" s="7" t="s">
        <v>43</v>
      </c>
      <c r="AG15" s="7"/>
      <c r="AH15" s="6"/>
      <c r="AI15" s="6">
        <v>1</v>
      </c>
      <c r="AJ15" s="6"/>
      <c r="AK15" s="6"/>
      <c r="AL15" s="6"/>
      <c r="AM15" s="15">
        <f>C15+L15+U15+AD15</f>
        <v>3</v>
      </c>
      <c r="AN15" s="19"/>
      <c r="AO15" s="19" t="s">
        <v>43</v>
      </c>
      <c r="AP15" s="19" t="str">
        <f>"1/1"</f>
        <v>1/1</v>
      </c>
      <c r="AQ15" s="33">
        <f t="shared" si="1"/>
        <v>0</v>
      </c>
      <c r="AR15" s="21">
        <f t="shared" si="1"/>
        <v>2</v>
      </c>
      <c r="AS15" s="6">
        <f t="shared" si="0"/>
        <v>1</v>
      </c>
      <c r="AT15" s="22">
        <f t="shared" si="3"/>
        <v>3</v>
      </c>
      <c r="AU15" s="6">
        <f t="shared" si="2"/>
        <v>1</v>
      </c>
      <c r="AV15" s="38">
        <f t="shared" si="2"/>
        <v>4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1"/>
        <v>0</v>
      </c>
      <c r="AR16" s="21">
        <f t="shared" si="1"/>
        <v>0</v>
      </c>
      <c r="AS16" s="6">
        <f t="shared" si="0"/>
        <v>0</v>
      </c>
      <c r="AT16" s="22">
        <f t="shared" si="3"/>
        <v>0</v>
      </c>
      <c r="AU16" s="6">
        <f t="shared" si="2"/>
        <v>0</v>
      </c>
      <c r="AV16" s="38">
        <f t="shared" si="2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1"/>
        <v>0</v>
      </c>
      <c r="AR17" s="30">
        <f t="shared" si="1"/>
        <v>0</v>
      </c>
      <c r="AS17" s="4">
        <f t="shared" si="0"/>
        <v>0</v>
      </c>
      <c r="AT17" s="31">
        <f t="shared" si="3"/>
        <v>0</v>
      </c>
      <c r="AU17" s="4">
        <f t="shared" si="2"/>
        <v>0</v>
      </c>
      <c r="AV17" s="39">
        <f t="shared" si="2"/>
        <v>0</v>
      </c>
    </row>
    <row r="18" spans="2:48" s="9" customFormat="1" thickBot="1" x14ac:dyDescent="0.25">
      <c r="C18" s="11">
        <f>SUM(C7:C17)</f>
        <v>11</v>
      </c>
      <c r="D18" s="10">
        <v>0.25</v>
      </c>
      <c r="E18" s="10" t="str">
        <f>"2/7"</f>
        <v>2/7</v>
      </c>
      <c r="F18" s="10" t="str">
        <f>"2/2"</f>
        <v>2/2</v>
      </c>
      <c r="G18" s="9">
        <f>SUM(G7:G17)</f>
        <v>0</v>
      </c>
      <c r="H18" s="9">
        <f t="shared" ref="H18:K18" si="5">SUM(H7:H17)</f>
        <v>11</v>
      </c>
      <c r="I18" s="9">
        <f t="shared" si="5"/>
        <v>0</v>
      </c>
      <c r="J18" s="9">
        <f t="shared" si="5"/>
        <v>17</v>
      </c>
      <c r="K18" s="9">
        <f t="shared" si="5"/>
        <v>2</v>
      </c>
      <c r="L18" s="11">
        <f>SUM(L7:L17)</f>
        <v>9</v>
      </c>
      <c r="M18" s="10" t="str">
        <f>"0/5"</f>
        <v>0/5</v>
      </c>
      <c r="N18" s="10" t="str">
        <f>"3/15"</f>
        <v>3/15</v>
      </c>
      <c r="O18" s="47" t="str">
        <f>"1/3"</f>
        <v>1/3</v>
      </c>
      <c r="P18" s="9">
        <f>SUM(P7:P17)</f>
        <v>0</v>
      </c>
      <c r="Q18" s="9">
        <f t="shared" ref="Q18:T18" si="6">SUM(Q7:Q17)</f>
        <v>7</v>
      </c>
      <c r="R18" s="9">
        <f t="shared" si="6"/>
        <v>1</v>
      </c>
      <c r="S18" s="9">
        <f t="shared" si="6"/>
        <v>6</v>
      </c>
      <c r="T18" s="9">
        <f t="shared" si="6"/>
        <v>4</v>
      </c>
      <c r="U18" s="11">
        <f>SUM(U7:U17)</f>
        <v>11</v>
      </c>
      <c r="V18" s="10" t="s">
        <v>44</v>
      </c>
      <c r="W18" s="10" t="str">
        <f>"4/11"</f>
        <v>4/11</v>
      </c>
      <c r="X18" s="10">
        <v>0.33333333333333331</v>
      </c>
      <c r="Y18" s="9">
        <f>SUM(Y7:Y17)</f>
        <v>0</v>
      </c>
      <c r="Z18" s="9">
        <f t="shared" ref="Z18:AC18" si="7">SUM(Z7:Z17)</f>
        <v>7</v>
      </c>
      <c r="AA18" s="9">
        <f t="shared" si="7"/>
        <v>2</v>
      </c>
      <c r="AB18" s="9">
        <f t="shared" si="7"/>
        <v>8</v>
      </c>
      <c r="AC18" s="9">
        <f t="shared" si="7"/>
        <v>1</v>
      </c>
      <c r="AD18" s="11">
        <f>SUM(AD7:AD17)</f>
        <v>16</v>
      </c>
      <c r="AE18" s="10">
        <v>0.66666666666666663</v>
      </c>
      <c r="AF18" s="10" t="str">
        <f>"7/16"</f>
        <v>7/16</v>
      </c>
      <c r="AG18" s="10" t="s">
        <v>43</v>
      </c>
      <c r="AH18" s="9">
        <f>SUM(AH7:AH17)</f>
        <v>1</v>
      </c>
      <c r="AI18" s="9">
        <f t="shared" ref="AI18:AL18" si="8">SUM(AI7:AI17)</f>
        <v>6</v>
      </c>
      <c r="AJ18" s="9">
        <f t="shared" si="8"/>
        <v>2</v>
      </c>
      <c r="AK18" s="9">
        <f t="shared" si="8"/>
        <v>3</v>
      </c>
      <c r="AL18" s="9">
        <f t="shared" si="8"/>
        <v>3</v>
      </c>
      <c r="AM18" s="12">
        <f>SUM(AM7:AM17)</f>
        <v>47</v>
      </c>
      <c r="AN18" s="13" t="str">
        <f>"3/14"</f>
        <v>3/14</v>
      </c>
      <c r="AO18" s="13" t="str">
        <f>"16/49"</f>
        <v>16/49</v>
      </c>
      <c r="AP18" s="13" t="str">
        <f>"4/9"</f>
        <v>4/9</v>
      </c>
      <c r="AQ18" s="11">
        <f t="shared" ref="AQ18:AV18" si="9">SUM(AQ7:AQ17)</f>
        <v>1</v>
      </c>
      <c r="AR18" s="11">
        <f t="shared" si="9"/>
        <v>31</v>
      </c>
      <c r="AS18" s="11">
        <f t="shared" si="9"/>
        <v>5</v>
      </c>
      <c r="AT18" s="11">
        <f t="shared" si="9"/>
        <v>36</v>
      </c>
      <c r="AU18" s="11">
        <f t="shared" si="9"/>
        <v>34</v>
      </c>
      <c r="AV18" s="11">
        <f t="shared" si="9"/>
        <v>10</v>
      </c>
    </row>
    <row r="19" spans="2:48" s="40" customFormat="1" thickBot="1" x14ac:dyDescent="0.25">
      <c r="B19" s="40" t="s">
        <v>54</v>
      </c>
      <c r="F19" s="67" t="str">
        <f>"24/11"</f>
        <v>24/11</v>
      </c>
      <c r="G19" s="68"/>
      <c r="H19" s="68"/>
      <c r="I19" s="68"/>
      <c r="J19" s="68"/>
      <c r="K19" s="69"/>
      <c r="O19" s="67" t="str">
        <f>"20/9"</f>
        <v>20/9</v>
      </c>
      <c r="P19" s="68"/>
      <c r="Q19" s="68"/>
      <c r="R19" s="68"/>
      <c r="S19" s="68"/>
      <c r="T19" s="69"/>
      <c r="X19" s="67" t="str">
        <f>"22/11"</f>
        <v>22/11</v>
      </c>
      <c r="Y19" s="68"/>
      <c r="Z19" s="68"/>
      <c r="AA19" s="68"/>
      <c r="AB19" s="68"/>
      <c r="AC19" s="69"/>
      <c r="AG19" s="67" t="str">
        <f>"21/16"</f>
        <v>21/16</v>
      </c>
      <c r="AH19" s="68"/>
      <c r="AI19" s="68"/>
      <c r="AJ19" s="68"/>
      <c r="AK19" s="68"/>
      <c r="AL19" s="69"/>
      <c r="AN19" s="14">
        <f>3/14</f>
        <v>0.21428571428571427</v>
      </c>
      <c r="AO19" s="14">
        <f>16/49</f>
        <v>0.32653061224489793</v>
      </c>
      <c r="AP19" s="14">
        <f>4/9</f>
        <v>0.44444444444444442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"44/20"</f>
        <v>44/20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"66/31"</f>
        <v>66/31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70</v>
      </c>
      <c r="AN21" s="42" t="s">
        <v>71</v>
      </c>
      <c r="AO21" s="42" t="s">
        <v>72</v>
      </c>
      <c r="AP21" s="42" t="s">
        <v>73</v>
      </c>
      <c r="AQ21" s="43">
        <v>3</v>
      </c>
      <c r="AR21" s="43">
        <v>31</v>
      </c>
      <c r="AS21" s="43">
        <v>12</v>
      </c>
      <c r="AT21" s="43">
        <v>43</v>
      </c>
      <c r="AU21" s="43">
        <v>26</v>
      </c>
      <c r="AV21" s="43">
        <v>11</v>
      </c>
    </row>
    <row r="22" spans="2:48" x14ac:dyDescent="0.25">
      <c r="C22" s="1" t="s">
        <v>20</v>
      </c>
      <c r="D22" s="1" t="s">
        <v>27</v>
      </c>
      <c r="AN22" s="14">
        <v>0.23809523809523808</v>
      </c>
      <c r="AO22" s="14">
        <v>0.26315789473684209</v>
      </c>
      <c r="AP22" s="14">
        <v>0.33333333333333331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64</v>
      </c>
      <c r="AN24" s="42" t="s">
        <v>65</v>
      </c>
      <c r="AO24" s="42" t="s">
        <v>66</v>
      </c>
      <c r="AP24" s="42" t="s">
        <v>52</v>
      </c>
      <c r="AQ24" s="43">
        <v>2</v>
      </c>
      <c r="AR24" s="43">
        <v>20</v>
      </c>
      <c r="AS24" s="43">
        <v>10</v>
      </c>
      <c r="AT24" s="43">
        <v>30</v>
      </c>
      <c r="AU24" s="43">
        <v>24</v>
      </c>
      <c r="AV24" s="43">
        <v>3</v>
      </c>
    </row>
    <row r="25" spans="2:48" x14ac:dyDescent="0.25">
      <c r="C25" s="40" t="s">
        <v>23</v>
      </c>
      <c r="D25" s="40" t="s">
        <v>31</v>
      </c>
      <c r="E25" s="40"/>
      <c r="AN25" s="14">
        <v>0.23076923076923078</v>
      </c>
      <c r="AO25" s="14">
        <v>0.2857142857142857</v>
      </c>
      <c r="AP25" s="14">
        <v>1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58</v>
      </c>
      <c r="AN27" s="42" t="s">
        <v>59</v>
      </c>
      <c r="AO27" s="42" t="s">
        <v>60</v>
      </c>
      <c r="AP27" s="42" t="s">
        <v>61</v>
      </c>
      <c r="AQ27" s="43">
        <v>5</v>
      </c>
      <c r="AR27" s="43">
        <v>31</v>
      </c>
      <c r="AS27" s="43">
        <v>8</v>
      </c>
      <c r="AT27" s="43">
        <v>39</v>
      </c>
      <c r="AU27" s="43">
        <v>22</v>
      </c>
      <c r="AV27" s="43">
        <v>6</v>
      </c>
    </row>
    <row r="28" spans="2:48" x14ac:dyDescent="0.25">
      <c r="AN28" s="14">
        <v>0.52631578947368418</v>
      </c>
      <c r="AO28" s="14">
        <v>0.40740740740740738</v>
      </c>
      <c r="AP28" s="14">
        <v>0.5</v>
      </c>
    </row>
    <row r="30" spans="2:48" x14ac:dyDescent="0.25">
      <c r="AG30" s="1" t="s">
        <v>53</v>
      </c>
      <c r="AN30" s="42" t="s">
        <v>49</v>
      </c>
      <c r="AO30" s="42" t="s">
        <v>50</v>
      </c>
      <c r="AP30" s="42" t="s">
        <v>51</v>
      </c>
      <c r="AQ30" s="43">
        <v>5</v>
      </c>
      <c r="AR30" s="43">
        <v>24</v>
      </c>
      <c r="AS30" s="43">
        <v>6</v>
      </c>
      <c r="AT30" s="43">
        <v>30</v>
      </c>
      <c r="AU30" s="43">
        <v>29</v>
      </c>
      <c r="AV30" s="43">
        <v>9</v>
      </c>
    </row>
    <row r="31" spans="2:48" x14ac:dyDescent="0.25">
      <c r="AN31" s="14">
        <v>0.53846153846153844</v>
      </c>
      <c r="AO31" s="14">
        <v>0.33333333333333331</v>
      </c>
      <c r="AP31" s="14">
        <v>0.33333333333333331</v>
      </c>
    </row>
    <row r="33" spans="33:48" x14ac:dyDescent="0.25">
      <c r="AG33" s="1" t="s">
        <v>46</v>
      </c>
      <c r="AN33" s="42" t="str">
        <f>"8/16"</f>
        <v>8/16</v>
      </c>
      <c r="AO33" s="42" t="str">
        <f>"11/38"</f>
        <v>11/38</v>
      </c>
      <c r="AP33" s="42" t="str">
        <f>"1/1"</f>
        <v>1/1</v>
      </c>
      <c r="AQ33" s="43">
        <v>3</v>
      </c>
      <c r="AR33" s="43">
        <v>16</v>
      </c>
      <c r="AS33" s="43">
        <v>7</v>
      </c>
      <c r="AT33" s="43">
        <v>23</v>
      </c>
      <c r="AU33" s="43">
        <v>37</v>
      </c>
      <c r="AV33" s="43">
        <v>18</v>
      </c>
    </row>
    <row r="34" spans="33:48" x14ac:dyDescent="0.25">
      <c r="AN34" s="14">
        <f>8/16</f>
        <v>0.5</v>
      </c>
      <c r="AO34" s="14">
        <f>11/38</f>
        <v>0.28947368421052633</v>
      </c>
      <c r="AP34" s="14">
        <f>1/1</f>
        <v>1</v>
      </c>
    </row>
  </sheetData>
  <mergeCells count="15">
    <mergeCell ref="L20:N20"/>
    <mergeCell ref="O20:T20"/>
    <mergeCell ref="U20:W20"/>
    <mergeCell ref="X20:AC20"/>
    <mergeCell ref="K2:N2"/>
    <mergeCell ref="W2:X2"/>
    <mergeCell ref="C5:K5"/>
    <mergeCell ref="L5:T5"/>
    <mergeCell ref="U5:AC5"/>
    <mergeCell ref="AM5:AV5"/>
    <mergeCell ref="F19:K19"/>
    <mergeCell ref="O19:T19"/>
    <mergeCell ref="X19:AC19"/>
    <mergeCell ref="AG19:AL19"/>
    <mergeCell ref="AD5:A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V37"/>
  <sheetViews>
    <sheetView workbookViewId="0">
      <selection activeCell="AQ10" sqref="AQ10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4.425781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3.28515625" style="1" bestFit="1" customWidth="1"/>
    <col min="39" max="39" width="3.7109375" style="1" bestFit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75</v>
      </c>
      <c r="I2" s="40" t="s">
        <v>38</v>
      </c>
      <c r="K2" s="52">
        <v>43114</v>
      </c>
      <c r="L2" s="52"/>
      <c r="M2" s="52"/>
      <c r="N2" s="52"/>
      <c r="Q2" s="45" t="s">
        <v>47</v>
      </c>
      <c r="W2" s="65" t="str">
        <f>"38/57"</f>
        <v>38/57</v>
      </c>
      <c r="X2" s="66"/>
    </row>
    <row r="3" spans="2:48" x14ac:dyDescent="0.25">
      <c r="B3" s="40" t="s">
        <v>36</v>
      </c>
      <c r="C3" s="1" t="s">
        <v>76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>
        <v>4</v>
      </c>
      <c r="D7" s="7" t="str">
        <f>"0/1"</f>
        <v>0/1</v>
      </c>
      <c r="E7" s="7" t="str">
        <f>"2/7"</f>
        <v>2/7</v>
      </c>
      <c r="F7" s="7"/>
      <c r="G7" s="6"/>
      <c r="H7" s="6">
        <v>3</v>
      </c>
      <c r="I7" s="6">
        <v>4</v>
      </c>
      <c r="J7" s="6"/>
      <c r="K7" s="6"/>
      <c r="L7" s="5"/>
      <c r="M7" s="7"/>
      <c r="N7" s="7" t="str">
        <f>"0/2"</f>
        <v>0/2</v>
      </c>
      <c r="O7" s="7"/>
      <c r="P7" s="6"/>
      <c r="Q7" s="6">
        <v>1</v>
      </c>
      <c r="R7" s="6">
        <v>2</v>
      </c>
      <c r="S7" s="6"/>
      <c r="T7" s="6"/>
      <c r="U7" s="5">
        <v>6</v>
      </c>
      <c r="V7" s="7"/>
      <c r="W7" s="7" t="str">
        <f>"3/4"</f>
        <v>3/4</v>
      </c>
      <c r="X7" s="7"/>
      <c r="Y7" s="6"/>
      <c r="Z7" s="6">
        <v>1</v>
      </c>
      <c r="AA7" s="6"/>
      <c r="AB7" s="6"/>
      <c r="AC7" s="6"/>
      <c r="AD7" s="5"/>
      <c r="AE7" s="7"/>
      <c r="AF7" s="7" t="str">
        <f>"0/1"</f>
        <v>0/1</v>
      </c>
      <c r="AG7" s="7"/>
      <c r="AH7" s="6">
        <v>1</v>
      </c>
      <c r="AI7" s="6">
        <v>1</v>
      </c>
      <c r="AJ7" s="6">
        <v>1</v>
      </c>
      <c r="AK7" s="6">
        <v>1</v>
      </c>
      <c r="AL7" s="6"/>
      <c r="AM7" s="25">
        <f>C7+L7+U7+AD7</f>
        <v>10</v>
      </c>
      <c r="AN7" s="26" t="str">
        <f>"0/1"</f>
        <v>0/1</v>
      </c>
      <c r="AO7" s="26" t="str">
        <f>"5/14"</f>
        <v>5/14</v>
      </c>
      <c r="AP7" s="26"/>
      <c r="AQ7" s="32">
        <f t="shared" ref="AQ7:AR9" si="0">G7+P7+Y7+AH7</f>
        <v>1</v>
      </c>
      <c r="AR7" s="28">
        <f t="shared" si="0"/>
        <v>6</v>
      </c>
      <c r="AS7" s="27">
        <f t="shared" ref="AS7:AS17" si="1">I7+R7+AA7+AJ7</f>
        <v>7</v>
      </c>
      <c r="AT7" s="29">
        <f>AR7+AS7</f>
        <v>13</v>
      </c>
      <c r="AU7" s="27">
        <f>J7+S7+AB7+AK7</f>
        <v>1</v>
      </c>
      <c r="AV7" s="37">
        <f>K7+T7+AC7+AL7</f>
        <v>0</v>
      </c>
    </row>
    <row r="8" spans="2:48" x14ac:dyDescent="0.25">
      <c r="B8" s="5" t="s">
        <v>12</v>
      </c>
      <c r="C8" s="5">
        <v>2</v>
      </c>
      <c r="D8" s="7"/>
      <c r="E8" s="7" t="str">
        <f>"1/3"</f>
        <v>1/3</v>
      </c>
      <c r="F8" s="7"/>
      <c r="G8" s="6"/>
      <c r="H8" s="6">
        <v>1</v>
      </c>
      <c r="I8" s="6">
        <v>2</v>
      </c>
      <c r="J8" s="6"/>
      <c r="K8" s="6">
        <v>1</v>
      </c>
      <c r="L8" s="5">
        <v>2</v>
      </c>
      <c r="M8" s="7"/>
      <c r="N8" s="7" t="str">
        <f>"1/1"</f>
        <v>1/1</v>
      </c>
      <c r="O8" s="7"/>
      <c r="P8" s="6"/>
      <c r="Q8" s="6">
        <v>3</v>
      </c>
      <c r="R8" s="6">
        <v>1</v>
      </c>
      <c r="S8" s="6">
        <v>1</v>
      </c>
      <c r="T8" s="6"/>
      <c r="U8" s="5">
        <v>2</v>
      </c>
      <c r="V8" s="7"/>
      <c r="W8" s="7" t="str">
        <f>"1/3"</f>
        <v>1/3</v>
      </c>
      <c r="X8" s="7"/>
      <c r="Y8" s="6"/>
      <c r="Z8" s="6">
        <v>1</v>
      </c>
      <c r="AA8" s="6"/>
      <c r="AB8" s="6"/>
      <c r="AC8" s="6">
        <v>1</v>
      </c>
      <c r="AD8" s="5">
        <v>4</v>
      </c>
      <c r="AE8" s="7"/>
      <c r="AF8" s="7" t="str">
        <f>"2/8"</f>
        <v>2/8</v>
      </c>
      <c r="AG8" s="7"/>
      <c r="AH8" s="6"/>
      <c r="AI8" s="6">
        <v>3</v>
      </c>
      <c r="AJ8" s="6">
        <v>1</v>
      </c>
      <c r="AK8" s="6"/>
      <c r="AL8" s="6"/>
      <c r="AM8" s="15">
        <f>C8+L8+U8+AD8</f>
        <v>10</v>
      </c>
      <c r="AN8" s="19"/>
      <c r="AO8" s="19" t="str">
        <f>"5/15"</f>
        <v>5/15</v>
      </c>
      <c r="AP8" s="19"/>
      <c r="AQ8" s="33">
        <f t="shared" si="0"/>
        <v>0</v>
      </c>
      <c r="AR8" s="21">
        <f t="shared" si="0"/>
        <v>8</v>
      </c>
      <c r="AS8" s="6">
        <f>I8+R8+AA8+AJ8</f>
        <v>4</v>
      </c>
      <c r="AT8" s="22">
        <f t="shared" ref="AT8:AT17" si="2">AR8+AS8</f>
        <v>12</v>
      </c>
      <c r="AU8" s="6">
        <f t="shared" ref="AU8:AV17" si="3">J8+S8+AB8+AK8</f>
        <v>1</v>
      </c>
      <c r="AV8" s="38">
        <f t="shared" si="3"/>
        <v>2</v>
      </c>
    </row>
    <row r="9" spans="2:48" x14ac:dyDescent="0.25">
      <c r="B9" s="5" t="s">
        <v>41</v>
      </c>
      <c r="C9" s="5">
        <v>10</v>
      </c>
      <c r="D9" s="7" t="str">
        <f>"1/2"</f>
        <v>1/2</v>
      </c>
      <c r="E9" s="7" t="str">
        <f>"3/3"</f>
        <v>3/3</v>
      </c>
      <c r="F9" s="7" t="str">
        <f>"1/2"</f>
        <v>1/2</v>
      </c>
      <c r="G9" s="6">
        <v>1</v>
      </c>
      <c r="H9" s="6">
        <v>1</v>
      </c>
      <c r="I9" s="6"/>
      <c r="J9" s="6"/>
      <c r="K9" s="6"/>
      <c r="L9" s="5">
        <v>5</v>
      </c>
      <c r="M9" s="7"/>
      <c r="N9" s="7" t="str">
        <f>"1/1"</f>
        <v>1/1</v>
      </c>
      <c r="O9" s="7" t="str">
        <f>"1/1"</f>
        <v>1/1</v>
      </c>
      <c r="P9" s="6"/>
      <c r="Q9" s="6"/>
      <c r="R9" s="6"/>
      <c r="S9" s="6"/>
      <c r="T9" s="6"/>
      <c r="U9" s="5">
        <v>2</v>
      </c>
      <c r="V9" s="7"/>
      <c r="W9" s="7" t="str">
        <f>"1/2"</f>
        <v>1/2</v>
      </c>
      <c r="X9" s="7" t="str">
        <f>"0/1"</f>
        <v>0/1</v>
      </c>
      <c r="Y9" s="6"/>
      <c r="Z9" s="6">
        <v>1</v>
      </c>
      <c r="AA9" s="6"/>
      <c r="AB9" s="6">
        <v>2</v>
      </c>
      <c r="AC9" s="6"/>
      <c r="AD9" s="5"/>
      <c r="AE9" s="7"/>
      <c r="AF9" s="7"/>
      <c r="AG9" s="7"/>
      <c r="AH9" s="6">
        <v>1</v>
      </c>
      <c r="AI9" s="6">
        <v>2</v>
      </c>
      <c r="AJ9" s="6">
        <v>1</v>
      </c>
      <c r="AK9" s="6">
        <v>2</v>
      </c>
      <c r="AL9" s="6"/>
      <c r="AM9" s="15">
        <f>C9+L9+U9+AD9</f>
        <v>17</v>
      </c>
      <c r="AN9" s="19" t="str">
        <f>"1/2"</f>
        <v>1/2</v>
      </c>
      <c r="AO9" s="19" t="str">
        <f>"5/6"</f>
        <v>5/6</v>
      </c>
      <c r="AP9" s="19" t="str">
        <f>"2/4"</f>
        <v>2/4</v>
      </c>
      <c r="AQ9" s="33">
        <f t="shared" si="0"/>
        <v>2</v>
      </c>
      <c r="AR9" s="21">
        <f t="shared" si="0"/>
        <v>4</v>
      </c>
      <c r="AS9" s="6">
        <f>I9+R9+AA9+AJ9</f>
        <v>1</v>
      </c>
      <c r="AT9" s="22">
        <f>AR9+AS9</f>
        <v>5</v>
      </c>
      <c r="AU9" s="6">
        <f t="shared" si="3"/>
        <v>4</v>
      </c>
      <c r="AV9" s="38">
        <f t="shared" si="3"/>
        <v>0</v>
      </c>
    </row>
    <row r="10" spans="2:48" x14ac:dyDescent="0.25">
      <c r="B10" s="5" t="s">
        <v>10</v>
      </c>
      <c r="C10" s="5"/>
      <c r="D10" s="7"/>
      <c r="E10" s="7"/>
      <c r="F10" s="7"/>
      <c r="G10" s="6"/>
      <c r="H10" s="6"/>
      <c r="I10" s="6"/>
      <c r="J10" s="6">
        <v>1</v>
      </c>
      <c r="K10" s="6"/>
      <c r="L10" s="5">
        <v>2</v>
      </c>
      <c r="M10" s="7" t="str">
        <f>"0/2"</f>
        <v>0/2</v>
      </c>
      <c r="N10" s="7" t="str">
        <f>"1/2"</f>
        <v>1/2</v>
      </c>
      <c r="O10" s="7"/>
      <c r="P10" s="6"/>
      <c r="Q10" s="6"/>
      <c r="R10" s="6"/>
      <c r="S10" s="6">
        <v>3</v>
      </c>
      <c r="T10" s="6"/>
      <c r="U10" s="5">
        <v>3</v>
      </c>
      <c r="V10" s="7" t="str">
        <f>"1/2"</f>
        <v>1/2</v>
      </c>
      <c r="W10" s="7" t="str">
        <f>"1/2"</f>
        <v>1/2</v>
      </c>
      <c r="X10" s="7"/>
      <c r="Y10" s="6">
        <v>1</v>
      </c>
      <c r="Z10" s="6"/>
      <c r="AA10" s="6"/>
      <c r="AB10" s="6"/>
      <c r="AC10" s="6"/>
      <c r="AD10" s="5">
        <v>4</v>
      </c>
      <c r="AE10" s="7" t="str">
        <f>"0/2"</f>
        <v>0/2</v>
      </c>
      <c r="AF10" s="7" t="str">
        <f>"2/3"</f>
        <v>2/3</v>
      </c>
      <c r="AG10" s="7"/>
      <c r="AH10" s="6"/>
      <c r="AI10" s="6">
        <v>1</v>
      </c>
      <c r="AJ10" s="6"/>
      <c r="AK10" s="6">
        <v>1</v>
      </c>
      <c r="AL10" s="6"/>
      <c r="AM10" s="15">
        <f>C10+L10+U10+AD10</f>
        <v>9</v>
      </c>
      <c r="AN10" s="19" t="str">
        <f>"1/6"</f>
        <v>1/6</v>
      </c>
      <c r="AO10" s="19" t="str">
        <f>"4/7"</f>
        <v>4/7</v>
      </c>
      <c r="AP10" s="19"/>
      <c r="AQ10" s="33">
        <f t="shared" ref="AQ10:AR17" si="4">G10+P10+Y10+AH10</f>
        <v>1</v>
      </c>
      <c r="AR10" s="21">
        <f>H10+Q10+Z10+AI10</f>
        <v>1</v>
      </c>
      <c r="AS10" s="6">
        <f>I10+R10+AA10+AJ10</f>
        <v>0</v>
      </c>
      <c r="AT10" s="22">
        <f>AR10+AS10</f>
        <v>1</v>
      </c>
      <c r="AU10" s="6">
        <f t="shared" si="3"/>
        <v>5</v>
      </c>
      <c r="AV10" s="38">
        <f t="shared" si="3"/>
        <v>0</v>
      </c>
    </row>
    <row r="11" spans="2:48" x14ac:dyDescent="0.25">
      <c r="B11" s="5" t="s">
        <v>15</v>
      </c>
      <c r="C11" s="5"/>
      <c r="D11" s="7"/>
      <c r="E11" s="7" t="str">
        <f>"0/3"</f>
        <v>0/3</v>
      </c>
      <c r="F11" s="7" t="str">
        <f>"0/1"</f>
        <v>0/1</v>
      </c>
      <c r="G11" s="6"/>
      <c r="H11" s="6">
        <v>1</v>
      </c>
      <c r="I11" s="6"/>
      <c r="J11" s="6"/>
      <c r="K11" s="6"/>
      <c r="L11" s="5"/>
      <c r="M11" s="7"/>
      <c r="N11" s="7"/>
      <c r="O11" s="7"/>
      <c r="P11" s="6"/>
      <c r="Q11" s="6"/>
      <c r="R11" s="6">
        <v>1</v>
      </c>
      <c r="S11" s="6"/>
      <c r="T11" s="6">
        <v>1</v>
      </c>
      <c r="U11" s="5">
        <v>2</v>
      </c>
      <c r="V11" s="7" t="str">
        <f>"2/2"</f>
        <v>2/2</v>
      </c>
      <c r="W11" s="7"/>
      <c r="X11" s="7"/>
      <c r="Y11" s="6">
        <v>1</v>
      </c>
      <c r="Z11" s="6">
        <v>1</v>
      </c>
      <c r="AA11" s="6"/>
      <c r="AB11" s="6">
        <v>3</v>
      </c>
      <c r="AC11" s="6">
        <v>1</v>
      </c>
      <c r="AD11" s="5">
        <v>2</v>
      </c>
      <c r="AE11" s="7"/>
      <c r="AF11" s="7" t="str">
        <f>"1/2"</f>
        <v>1/2</v>
      </c>
      <c r="AG11" s="7"/>
      <c r="AH11" s="6"/>
      <c r="AI11" s="6">
        <v>1</v>
      </c>
      <c r="AJ11" s="6"/>
      <c r="AK11" s="6">
        <v>3</v>
      </c>
      <c r="AL11" s="6">
        <v>2</v>
      </c>
      <c r="AM11" s="15">
        <f t="shared" ref="AM11:AM12" si="5">C11+L11+U11+AD11</f>
        <v>4</v>
      </c>
      <c r="AN11" s="19" t="str">
        <f>"2/2"</f>
        <v>2/2</v>
      </c>
      <c r="AO11" s="19" t="str">
        <f>"1/5"</f>
        <v>1/5</v>
      </c>
      <c r="AP11" s="19" t="str">
        <f>"0/1"</f>
        <v>0/1</v>
      </c>
      <c r="AQ11" s="33">
        <f t="shared" si="4"/>
        <v>1</v>
      </c>
      <c r="AR11" s="21">
        <f t="shared" si="4"/>
        <v>3</v>
      </c>
      <c r="AS11" s="6">
        <f t="shared" si="1"/>
        <v>1</v>
      </c>
      <c r="AT11" s="22">
        <f t="shared" si="2"/>
        <v>4</v>
      </c>
      <c r="AU11" s="6">
        <f t="shared" si="3"/>
        <v>6</v>
      </c>
      <c r="AV11" s="38">
        <f t="shared" si="3"/>
        <v>4</v>
      </c>
    </row>
    <row r="12" spans="2:48" x14ac:dyDescent="0.25">
      <c r="B12" s="5" t="s">
        <v>11</v>
      </c>
      <c r="C12" s="5"/>
      <c r="D12" s="7"/>
      <c r="E12" s="7" t="str">
        <f>"0/1"</f>
        <v>0/1</v>
      </c>
      <c r="F12" s="7"/>
      <c r="G12" s="6">
        <v>1</v>
      </c>
      <c r="H12" s="6">
        <v>1</v>
      </c>
      <c r="I12" s="6"/>
      <c r="J12" s="6"/>
      <c r="K12" s="6">
        <v>1</v>
      </c>
      <c r="L12" s="5"/>
      <c r="M12" s="7"/>
      <c r="N12" s="7"/>
      <c r="O12" s="7"/>
      <c r="P12" s="6">
        <v>1</v>
      </c>
      <c r="Q12" s="6"/>
      <c r="R12" s="6"/>
      <c r="S12" s="6">
        <v>2</v>
      </c>
      <c r="T12" s="6"/>
      <c r="U12" s="5"/>
      <c r="V12" s="7"/>
      <c r="W12" s="7" t="str">
        <f>"0/1"</f>
        <v>0/1</v>
      </c>
      <c r="X12" s="7"/>
      <c r="Y12" s="6"/>
      <c r="Z12" s="6"/>
      <c r="AA12" s="6"/>
      <c r="AB12" s="6"/>
      <c r="AC12" s="6"/>
      <c r="AD12" s="5">
        <v>2</v>
      </c>
      <c r="AE12" s="7"/>
      <c r="AF12" s="7" t="str">
        <f>"1/1"</f>
        <v>1/1</v>
      </c>
      <c r="AG12" s="7"/>
      <c r="AH12" s="6"/>
      <c r="AI12" s="6"/>
      <c r="AJ12" s="6"/>
      <c r="AK12" s="6"/>
      <c r="AL12" s="6"/>
      <c r="AM12" s="15">
        <f t="shared" si="5"/>
        <v>2</v>
      </c>
      <c r="AN12" s="19"/>
      <c r="AO12" s="19" t="str">
        <f>"1/3"</f>
        <v>1/3</v>
      </c>
      <c r="AP12" s="19"/>
      <c r="AQ12" s="33">
        <f t="shared" si="4"/>
        <v>2</v>
      </c>
      <c r="AR12" s="21">
        <f t="shared" si="4"/>
        <v>1</v>
      </c>
      <c r="AS12" s="6">
        <f t="shared" si="1"/>
        <v>0</v>
      </c>
      <c r="AT12" s="22">
        <f t="shared" si="2"/>
        <v>1</v>
      </c>
      <c r="AU12" s="6">
        <f t="shared" si="3"/>
        <v>2</v>
      </c>
      <c r="AV12" s="38">
        <f t="shared" si="3"/>
        <v>1</v>
      </c>
    </row>
    <row r="13" spans="2:48" x14ac:dyDescent="0.25">
      <c r="B13" s="5" t="s">
        <v>13</v>
      </c>
      <c r="C13" s="5"/>
      <c r="D13" s="7" t="str">
        <f>"0/2"</f>
        <v>0/2</v>
      </c>
      <c r="E13" s="7"/>
      <c r="F13" s="7"/>
      <c r="G13" s="6"/>
      <c r="H13" s="6"/>
      <c r="I13" s="6"/>
      <c r="J13" s="6"/>
      <c r="K13" s="6"/>
      <c r="L13" s="5"/>
      <c r="M13" s="7"/>
      <c r="N13" s="7" t="str">
        <f>"0/2"</f>
        <v>0/2</v>
      </c>
      <c r="O13" s="7"/>
      <c r="P13" s="6"/>
      <c r="Q13" s="6">
        <v>2</v>
      </c>
      <c r="R13" s="6"/>
      <c r="S13" s="6"/>
      <c r="T13" s="6"/>
      <c r="U13" s="5"/>
      <c r="V13" s="7"/>
      <c r="W13" s="7"/>
      <c r="X13" s="7"/>
      <c r="Y13" s="6"/>
      <c r="Z13" s="6">
        <v>1</v>
      </c>
      <c r="AA13" s="6"/>
      <c r="AB13" s="6">
        <v>1</v>
      </c>
      <c r="AC13" s="6">
        <v>1</v>
      </c>
      <c r="AD13" s="5"/>
      <c r="AE13" s="7"/>
      <c r="AF13" s="7" t="str">
        <f>"0/2"</f>
        <v>0/2</v>
      </c>
      <c r="AG13" s="7"/>
      <c r="AH13" s="6"/>
      <c r="AI13" s="6">
        <v>1</v>
      </c>
      <c r="AJ13" s="6"/>
      <c r="AK13" s="6"/>
      <c r="AL13" s="6"/>
      <c r="AM13" s="15">
        <f>C13+L13+U13+AD13</f>
        <v>0</v>
      </c>
      <c r="AN13" s="19" t="str">
        <f>"0/2"</f>
        <v>0/2</v>
      </c>
      <c r="AO13" s="19" t="str">
        <f>"0/4"</f>
        <v>0/4</v>
      </c>
      <c r="AP13" s="19"/>
      <c r="AQ13" s="33">
        <f t="shared" si="4"/>
        <v>0</v>
      </c>
      <c r="AR13" s="21">
        <f>H13+Q13+Z13+AI13</f>
        <v>4</v>
      </c>
      <c r="AS13" s="6">
        <f t="shared" si="1"/>
        <v>0</v>
      </c>
      <c r="AT13" s="22">
        <f t="shared" si="2"/>
        <v>4</v>
      </c>
      <c r="AU13" s="6">
        <f t="shared" si="3"/>
        <v>1</v>
      </c>
      <c r="AV13" s="38">
        <f t="shared" si="3"/>
        <v>1</v>
      </c>
    </row>
    <row r="14" spans="2:48" x14ac:dyDescent="0.25">
      <c r="B14" s="5" t="s">
        <v>67</v>
      </c>
      <c r="C14" s="5"/>
      <c r="D14" s="7"/>
      <c r="E14" s="7" t="str">
        <f>"0/1"</f>
        <v>0/1</v>
      </c>
      <c r="F14" s="7"/>
      <c r="G14" s="6"/>
      <c r="H14" s="6"/>
      <c r="I14" s="6"/>
      <c r="J14" s="6"/>
      <c r="K14" s="6"/>
      <c r="L14" s="5">
        <v>5</v>
      </c>
      <c r="M14" s="7"/>
      <c r="N14" s="7" t="str">
        <f>"1/1"</f>
        <v>1/1</v>
      </c>
      <c r="O14" s="7" t="str">
        <f>"1/1"</f>
        <v>1/1</v>
      </c>
      <c r="P14" s="6"/>
      <c r="Q14" s="6">
        <v>1</v>
      </c>
      <c r="R14" s="6"/>
      <c r="S14" s="6"/>
      <c r="T14" s="6"/>
      <c r="U14" s="5"/>
      <c r="V14" s="7"/>
      <c r="W14" s="7"/>
      <c r="X14" s="7"/>
      <c r="Y14" s="6"/>
      <c r="Z14" s="6"/>
      <c r="AA14" s="6"/>
      <c r="AB14" s="6"/>
      <c r="AC14" s="6"/>
      <c r="AD14" s="5"/>
      <c r="AE14" s="7"/>
      <c r="AF14" s="7" t="str">
        <f>"0/1"</f>
        <v>0/1</v>
      </c>
      <c r="AG14" s="7"/>
      <c r="AH14" s="6"/>
      <c r="AI14" s="6"/>
      <c r="AJ14" s="6"/>
      <c r="AK14" s="6">
        <v>2</v>
      </c>
      <c r="AL14" s="6"/>
      <c r="AM14" s="15">
        <f>C14+L14+U14+AD14</f>
        <v>5</v>
      </c>
      <c r="AN14" s="19"/>
      <c r="AO14" s="19" t="str">
        <f>"1/3"</f>
        <v>1/3</v>
      </c>
      <c r="AP14" s="19" t="str">
        <f>"1/1"</f>
        <v>1/1</v>
      </c>
      <c r="AQ14" s="33">
        <f t="shared" si="4"/>
        <v>0</v>
      </c>
      <c r="AR14" s="21">
        <f t="shared" si="4"/>
        <v>1</v>
      </c>
      <c r="AS14" s="6">
        <f t="shared" si="1"/>
        <v>0</v>
      </c>
      <c r="AT14" s="22">
        <f t="shared" si="2"/>
        <v>1</v>
      </c>
      <c r="AU14" s="6">
        <f t="shared" si="3"/>
        <v>2</v>
      </c>
      <c r="AV14" s="38">
        <f t="shared" si="3"/>
        <v>0</v>
      </c>
    </row>
    <row r="15" spans="2:48" x14ac:dyDescent="0.25">
      <c r="B15" s="5" t="s">
        <v>16</v>
      </c>
      <c r="C15" s="5"/>
      <c r="D15" s="7"/>
      <c r="E15" s="7"/>
      <c r="F15" s="7"/>
      <c r="G15" s="6"/>
      <c r="H15" s="6"/>
      <c r="I15" s="6"/>
      <c r="J15" s="6"/>
      <c r="K15" s="6"/>
      <c r="L15" s="5"/>
      <c r="M15" s="7"/>
      <c r="N15" s="7"/>
      <c r="O15" s="7"/>
      <c r="P15" s="6"/>
      <c r="Q15" s="6">
        <v>1</v>
      </c>
      <c r="R15" s="6"/>
      <c r="S15" s="6">
        <v>1</v>
      </c>
      <c r="T15" s="6">
        <v>1</v>
      </c>
      <c r="U15" s="5"/>
      <c r="V15" s="7"/>
      <c r="W15" s="7" t="str">
        <f>"0/1"</f>
        <v>0/1</v>
      </c>
      <c r="X15" s="7"/>
      <c r="Y15" s="6"/>
      <c r="Z15" s="6"/>
      <c r="AA15" s="6"/>
      <c r="AB15" s="6"/>
      <c r="AC15" s="6"/>
      <c r="AD15" s="5"/>
      <c r="AE15" s="7"/>
      <c r="AF15" s="7"/>
      <c r="AG15" s="7"/>
      <c r="AH15" s="6"/>
      <c r="AI15" s="6"/>
      <c r="AJ15" s="6"/>
      <c r="AK15" s="6"/>
      <c r="AL15" s="6"/>
      <c r="AM15" s="15">
        <f>C15+L15+U15+AD15</f>
        <v>0</v>
      </c>
      <c r="AN15" s="19"/>
      <c r="AO15" s="19" t="str">
        <f>"0/1"</f>
        <v>0/1</v>
      </c>
      <c r="AP15" s="19"/>
      <c r="AQ15" s="33">
        <f t="shared" si="4"/>
        <v>0</v>
      </c>
      <c r="AR15" s="21">
        <f t="shared" si="4"/>
        <v>1</v>
      </c>
      <c r="AS15" s="6">
        <f t="shared" si="1"/>
        <v>0</v>
      </c>
      <c r="AT15" s="22">
        <f t="shared" si="2"/>
        <v>1</v>
      </c>
      <c r="AU15" s="6">
        <f t="shared" si="3"/>
        <v>1</v>
      </c>
      <c r="AV15" s="38">
        <f t="shared" si="3"/>
        <v>1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4"/>
        <v>0</v>
      </c>
      <c r="AR16" s="21">
        <f t="shared" si="4"/>
        <v>0</v>
      </c>
      <c r="AS16" s="6">
        <f t="shared" si="1"/>
        <v>0</v>
      </c>
      <c r="AT16" s="22">
        <f t="shared" si="2"/>
        <v>0</v>
      </c>
      <c r="AU16" s="6">
        <f t="shared" si="3"/>
        <v>0</v>
      </c>
      <c r="AV16" s="38">
        <f t="shared" si="3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4"/>
        <v>0</v>
      </c>
      <c r="AR17" s="30">
        <f t="shared" si="4"/>
        <v>0</v>
      </c>
      <c r="AS17" s="4">
        <f t="shared" si="1"/>
        <v>0</v>
      </c>
      <c r="AT17" s="31">
        <f t="shared" si="2"/>
        <v>0</v>
      </c>
      <c r="AU17" s="4">
        <f t="shared" si="3"/>
        <v>0</v>
      </c>
      <c r="AV17" s="39">
        <f t="shared" si="3"/>
        <v>0</v>
      </c>
    </row>
    <row r="18" spans="2:48" s="9" customFormat="1" thickBot="1" x14ac:dyDescent="0.25">
      <c r="C18" s="11">
        <f>SUM(C7:C17)</f>
        <v>16</v>
      </c>
      <c r="D18" s="10" t="str">
        <f>"1/5"</f>
        <v>1/5</v>
      </c>
      <c r="E18" s="10" t="str">
        <f>"6/18"</f>
        <v>6/18</v>
      </c>
      <c r="F18" s="10" t="str">
        <f>"1/3"</f>
        <v>1/3</v>
      </c>
      <c r="G18" s="9">
        <f>SUM(G7:G17)</f>
        <v>2</v>
      </c>
      <c r="H18" s="9">
        <f t="shared" ref="H18:K18" si="6">SUM(H7:H17)</f>
        <v>7</v>
      </c>
      <c r="I18" s="9">
        <f t="shared" si="6"/>
        <v>6</v>
      </c>
      <c r="J18" s="9">
        <f t="shared" si="6"/>
        <v>1</v>
      </c>
      <c r="K18" s="9">
        <f t="shared" si="6"/>
        <v>2</v>
      </c>
      <c r="L18" s="11">
        <f>SUM(L7:L17)</f>
        <v>14</v>
      </c>
      <c r="M18" s="10" t="str">
        <f>"0/2"</f>
        <v>0/2</v>
      </c>
      <c r="N18" s="10" t="str">
        <f>"4/9"</f>
        <v>4/9</v>
      </c>
      <c r="O18" s="47" t="str">
        <f>"2/2"</f>
        <v>2/2</v>
      </c>
      <c r="P18" s="9">
        <f>SUM(P7:P17)</f>
        <v>1</v>
      </c>
      <c r="Q18" s="9">
        <f t="shared" ref="Q18:T18" si="7">SUM(Q7:Q17)</f>
        <v>8</v>
      </c>
      <c r="R18" s="9">
        <f t="shared" si="7"/>
        <v>4</v>
      </c>
      <c r="S18" s="9">
        <f t="shared" si="7"/>
        <v>7</v>
      </c>
      <c r="T18" s="9">
        <f t="shared" si="7"/>
        <v>2</v>
      </c>
      <c r="U18" s="11">
        <f>SUM(U7:U17)</f>
        <v>15</v>
      </c>
      <c r="V18" s="10" t="str">
        <f>"3/4"</f>
        <v>3/4</v>
      </c>
      <c r="W18" s="10" t="str">
        <f>"6/13"</f>
        <v>6/13</v>
      </c>
      <c r="X18" s="10" t="str">
        <f>"0/1"</f>
        <v>0/1</v>
      </c>
      <c r="Y18" s="9">
        <f>SUM(Y7:Y17)</f>
        <v>2</v>
      </c>
      <c r="Z18" s="9">
        <f t="shared" ref="Z18:AC18" si="8">SUM(Z7:Z17)</f>
        <v>5</v>
      </c>
      <c r="AA18" s="9">
        <f t="shared" si="8"/>
        <v>0</v>
      </c>
      <c r="AB18" s="9">
        <f t="shared" si="8"/>
        <v>6</v>
      </c>
      <c r="AC18" s="9">
        <f t="shared" si="8"/>
        <v>3</v>
      </c>
      <c r="AD18" s="11">
        <f>SUM(AD7:AD17)</f>
        <v>12</v>
      </c>
      <c r="AE18" s="10" t="str">
        <f>"0/2"</f>
        <v>0/2</v>
      </c>
      <c r="AF18" s="10" t="str">
        <f>"6/18"</f>
        <v>6/18</v>
      </c>
      <c r="AG18" s="10"/>
      <c r="AH18" s="9">
        <f>SUM(AH7:AH17)</f>
        <v>2</v>
      </c>
      <c r="AI18" s="9">
        <f t="shared" ref="AI18:AL18" si="9">SUM(AI7:AI17)</f>
        <v>9</v>
      </c>
      <c r="AJ18" s="9">
        <f t="shared" si="9"/>
        <v>3</v>
      </c>
      <c r="AK18" s="9">
        <f t="shared" si="9"/>
        <v>9</v>
      </c>
      <c r="AL18" s="9">
        <f t="shared" si="9"/>
        <v>2</v>
      </c>
      <c r="AM18" s="12">
        <f>SUM(AM7:AM17)</f>
        <v>57</v>
      </c>
      <c r="AN18" s="13" t="str">
        <f>"4/13"</f>
        <v>4/13</v>
      </c>
      <c r="AO18" s="13" t="str">
        <f>"22/58"</f>
        <v>22/58</v>
      </c>
      <c r="AP18" s="13" t="str">
        <f>"3/6"</f>
        <v>3/6</v>
      </c>
      <c r="AQ18" s="11">
        <f t="shared" ref="AQ18:AV18" si="10">SUM(AQ7:AQ17)</f>
        <v>7</v>
      </c>
      <c r="AR18" s="11">
        <f t="shared" si="10"/>
        <v>29</v>
      </c>
      <c r="AS18" s="11">
        <f t="shared" si="10"/>
        <v>13</v>
      </c>
      <c r="AT18" s="11">
        <f t="shared" si="10"/>
        <v>42</v>
      </c>
      <c r="AU18" s="11">
        <f t="shared" si="10"/>
        <v>23</v>
      </c>
      <c r="AV18" s="11">
        <f t="shared" si="10"/>
        <v>9</v>
      </c>
    </row>
    <row r="19" spans="2:48" s="40" customFormat="1" thickBot="1" x14ac:dyDescent="0.25">
      <c r="B19" s="40" t="s">
        <v>54</v>
      </c>
      <c r="F19" s="67" t="str">
        <f>"8/16"</f>
        <v>8/16</v>
      </c>
      <c r="G19" s="68"/>
      <c r="H19" s="68"/>
      <c r="I19" s="68"/>
      <c r="J19" s="68"/>
      <c r="K19" s="69"/>
      <c r="O19" s="67" t="str">
        <f>"5/14"</f>
        <v>5/14</v>
      </c>
      <c r="P19" s="68"/>
      <c r="Q19" s="68"/>
      <c r="R19" s="68"/>
      <c r="S19" s="68"/>
      <c r="T19" s="69"/>
      <c r="X19" s="67" t="str">
        <f>"18/15"</f>
        <v>18/15</v>
      </c>
      <c r="Y19" s="68"/>
      <c r="Z19" s="68"/>
      <c r="AA19" s="68"/>
      <c r="AB19" s="68"/>
      <c r="AC19" s="69"/>
      <c r="AG19" s="67" t="str">
        <f>"7/12"</f>
        <v>7/12</v>
      </c>
      <c r="AH19" s="68"/>
      <c r="AI19" s="68"/>
      <c r="AJ19" s="68"/>
      <c r="AK19" s="68"/>
      <c r="AL19" s="69"/>
      <c r="AN19" s="14">
        <f>4/13</f>
        <v>0.30769230769230771</v>
      </c>
      <c r="AO19" s="14">
        <f>22/58</f>
        <v>0.37931034482758619</v>
      </c>
      <c r="AP19" s="14">
        <f>3/6</f>
        <v>0.5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"13/30"</f>
        <v>13/30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"31/45"</f>
        <v>31/45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77</v>
      </c>
      <c r="AN21" s="42" t="s">
        <v>78</v>
      </c>
      <c r="AO21" s="42" t="s">
        <v>79</v>
      </c>
      <c r="AP21" s="42" t="s">
        <v>80</v>
      </c>
      <c r="AQ21" s="43">
        <v>1</v>
      </c>
      <c r="AR21" s="43">
        <v>31</v>
      </c>
      <c r="AS21" s="43">
        <v>5</v>
      </c>
      <c r="AT21" s="43">
        <v>36</v>
      </c>
      <c r="AU21" s="43">
        <v>34</v>
      </c>
      <c r="AV21" s="43">
        <v>10</v>
      </c>
    </row>
    <row r="22" spans="2:48" x14ac:dyDescent="0.25">
      <c r="C22" s="1" t="s">
        <v>20</v>
      </c>
      <c r="D22" s="1" t="s">
        <v>27</v>
      </c>
      <c r="AN22" s="14">
        <v>0.21428571428571427</v>
      </c>
      <c r="AO22" s="14">
        <v>0.32653061224489793</v>
      </c>
      <c r="AP22" s="14">
        <v>0.44444444444444442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70</v>
      </c>
      <c r="AN24" s="42" t="s">
        <v>71</v>
      </c>
      <c r="AO24" s="42" t="s">
        <v>72</v>
      </c>
      <c r="AP24" s="42" t="s">
        <v>73</v>
      </c>
      <c r="AQ24" s="43">
        <v>3</v>
      </c>
      <c r="AR24" s="43">
        <v>31</v>
      </c>
      <c r="AS24" s="43">
        <v>12</v>
      </c>
      <c r="AT24" s="43">
        <v>43</v>
      </c>
      <c r="AU24" s="43">
        <v>26</v>
      </c>
      <c r="AV24" s="43">
        <v>11</v>
      </c>
    </row>
    <row r="25" spans="2:48" x14ac:dyDescent="0.25">
      <c r="C25" s="40" t="s">
        <v>23</v>
      </c>
      <c r="D25" s="40" t="s">
        <v>31</v>
      </c>
      <c r="E25" s="40"/>
      <c r="AN25" s="14">
        <v>0.23809523809523808</v>
      </c>
      <c r="AO25" s="14">
        <v>0.26315789473684209</v>
      </c>
      <c r="AP25" s="14">
        <v>0.33333333333333331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64</v>
      </c>
      <c r="AN27" s="42" t="s">
        <v>65</v>
      </c>
      <c r="AO27" s="42" t="s">
        <v>66</v>
      </c>
      <c r="AP27" s="42" t="s">
        <v>52</v>
      </c>
      <c r="AQ27" s="43">
        <v>2</v>
      </c>
      <c r="AR27" s="43">
        <v>20</v>
      </c>
      <c r="AS27" s="43">
        <v>10</v>
      </c>
      <c r="AT27" s="43">
        <v>30</v>
      </c>
      <c r="AU27" s="43">
        <v>24</v>
      </c>
      <c r="AV27" s="43">
        <v>3</v>
      </c>
    </row>
    <row r="28" spans="2:48" x14ac:dyDescent="0.25">
      <c r="AN28" s="14">
        <v>0.23076923076923078</v>
      </c>
      <c r="AO28" s="14">
        <v>0.2857142857142857</v>
      </c>
      <c r="AP28" s="14">
        <v>1</v>
      </c>
    </row>
    <row r="30" spans="2:48" x14ac:dyDescent="0.25">
      <c r="AG30" s="1" t="s">
        <v>58</v>
      </c>
      <c r="AN30" s="42" t="s">
        <v>59</v>
      </c>
      <c r="AO30" s="42" t="s">
        <v>60</v>
      </c>
      <c r="AP30" s="42" t="s">
        <v>61</v>
      </c>
      <c r="AQ30" s="43">
        <v>5</v>
      </c>
      <c r="AR30" s="43">
        <v>31</v>
      </c>
      <c r="AS30" s="43">
        <v>8</v>
      </c>
      <c r="AT30" s="43">
        <v>39</v>
      </c>
      <c r="AU30" s="43">
        <v>22</v>
      </c>
      <c r="AV30" s="43">
        <v>6</v>
      </c>
    </row>
    <row r="31" spans="2:48" x14ac:dyDescent="0.25">
      <c r="AN31" s="14">
        <v>0.52631578947368418</v>
      </c>
      <c r="AO31" s="14">
        <v>0.40740740740740738</v>
      </c>
      <c r="AP31" s="14">
        <v>0.5</v>
      </c>
    </row>
    <row r="33" spans="33:48" x14ac:dyDescent="0.25">
      <c r="AG33" s="1" t="s">
        <v>53</v>
      </c>
      <c r="AN33" s="42" t="s">
        <v>49</v>
      </c>
      <c r="AO33" s="42" t="s">
        <v>50</v>
      </c>
      <c r="AP33" s="42" t="s">
        <v>51</v>
      </c>
      <c r="AQ33" s="43">
        <v>5</v>
      </c>
      <c r="AR33" s="43">
        <v>24</v>
      </c>
      <c r="AS33" s="43">
        <v>6</v>
      </c>
      <c r="AT33" s="43">
        <v>30</v>
      </c>
      <c r="AU33" s="43">
        <v>29</v>
      </c>
      <c r="AV33" s="43">
        <v>9</v>
      </c>
    </row>
    <row r="34" spans="33:48" x14ac:dyDescent="0.25">
      <c r="AN34" s="14">
        <v>0.53846153846153844</v>
      </c>
      <c r="AO34" s="14">
        <v>0.33333333333333331</v>
      </c>
      <c r="AP34" s="14">
        <v>0.33333333333333331</v>
      </c>
    </row>
    <row r="36" spans="33:48" x14ac:dyDescent="0.25">
      <c r="AG36" s="1" t="s">
        <v>46</v>
      </c>
      <c r="AN36" s="42" t="str">
        <f>"8/16"</f>
        <v>8/16</v>
      </c>
      <c r="AO36" s="42" t="str">
        <f>"11/38"</f>
        <v>11/38</v>
      </c>
      <c r="AP36" s="42" t="str">
        <f>"1/1"</f>
        <v>1/1</v>
      </c>
      <c r="AQ36" s="43">
        <v>3</v>
      </c>
      <c r="AR36" s="43">
        <v>16</v>
      </c>
      <c r="AS36" s="43">
        <v>7</v>
      </c>
      <c r="AT36" s="43">
        <v>23</v>
      </c>
      <c r="AU36" s="43">
        <v>37</v>
      </c>
      <c r="AV36" s="43">
        <v>18</v>
      </c>
    </row>
    <row r="37" spans="33:48" x14ac:dyDescent="0.25">
      <c r="AN37" s="14">
        <f>8/16</f>
        <v>0.5</v>
      </c>
      <c r="AO37" s="14">
        <f>11/38</f>
        <v>0.28947368421052633</v>
      </c>
      <c r="AP37" s="14">
        <f>1/1</f>
        <v>1</v>
      </c>
    </row>
  </sheetData>
  <mergeCells count="15">
    <mergeCell ref="AM5:AV5"/>
    <mergeCell ref="F19:K19"/>
    <mergeCell ref="O19:T19"/>
    <mergeCell ref="X19:AC19"/>
    <mergeCell ref="AG19:AL19"/>
    <mergeCell ref="AD5:AL5"/>
    <mergeCell ref="L20:N20"/>
    <mergeCell ref="O20:T20"/>
    <mergeCell ref="U20:W20"/>
    <mergeCell ref="X20:AC20"/>
    <mergeCell ref="K2:N2"/>
    <mergeCell ref="W2:X2"/>
    <mergeCell ref="C5:K5"/>
    <mergeCell ref="L5:T5"/>
    <mergeCell ref="U5:A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V40"/>
  <sheetViews>
    <sheetView workbookViewId="0">
      <selection activeCell="B12" sqref="B12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4.425781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3.28515625" style="1" bestFit="1" customWidth="1"/>
    <col min="39" max="39" width="3.7109375" style="1" customWidth="1"/>
    <col min="40" max="40" width="6.42578125" style="1" customWidth="1"/>
    <col min="41" max="41" width="6.140625" style="1" customWidth="1"/>
    <col min="42" max="42" width="6.42578125" style="1" customWidth="1"/>
    <col min="43" max="43" width="3.85546875" style="1" bestFit="1" customWidth="1"/>
    <col min="44" max="45" width="4" style="1" bestFit="1" customWidth="1"/>
    <col min="46" max="46" width="4" style="1" customWidth="1"/>
    <col min="47" max="47" width="3.7109375" style="1" bestFit="1" customWidth="1"/>
    <col min="48" max="48" width="3.28515625" style="1" bestFit="1" customWidth="1"/>
    <col min="49" max="16384" width="9.140625" style="1"/>
  </cols>
  <sheetData>
    <row r="1" spans="2:48" ht="15.75" thickBot="1" x14ac:dyDescent="0.3"/>
    <row r="2" spans="2:48" ht="15.75" thickBot="1" x14ac:dyDescent="0.3">
      <c r="B2" s="40" t="s">
        <v>34</v>
      </c>
      <c r="C2" s="1" t="s">
        <v>85</v>
      </c>
      <c r="I2" s="40" t="s">
        <v>38</v>
      </c>
      <c r="K2" s="52">
        <v>43121</v>
      </c>
      <c r="L2" s="52"/>
      <c r="M2" s="52"/>
      <c r="N2" s="52"/>
      <c r="Q2" s="45" t="s">
        <v>47</v>
      </c>
      <c r="W2" s="65" t="str">
        <f>"51/63"</f>
        <v>51/63</v>
      </c>
      <c r="X2" s="66"/>
    </row>
    <row r="3" spans="2:48" x14ac:dyDescent="0.25">
      <c r="B3" s="40" t="s">
        <v>36</v>
      </c>
      <c r="C3" s="1" t="s">
        <v>76</v>
      </c>
    </row>
    <row r="4" spans="2:48" ht="15.75" thickBot="1" x14ac:dyDescent="0.3"/>
    <row r="5" spans="2:48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49" t="s">
        <v>9</v>
      </c>
      <c r="AN5" s="50"/>
      <c r="AO5" s="50"/>
      <c r="AP5" s="50"/>
      <c r="AQ5" s="50"/>
      <c r="AR5" s="50"/>
      <c r="AS5" s="50"/>
      <c r="AT5" s="50"/>
      <c r="AU5" s="50"/>
      <c r="AV5" s="51"/>
    </row>
    <row r="6" spans="2:48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17" t="s">
        <v>5</v>
      </c>
      <c r="AN6" s="18" t="s">
        <v>19</v>
      </c>
      <c r="AO6" s="18" t="s">
        <v>1</v>
      </c>
      <c r="AP6" s="18" t="s">
        <v>0</v>
      </c>
      <c r="AQ6" s="35" t="s">
        <v>20</v>
      </c>
      <c r="AR6" s="23" t="s">
        <v>17</v>
      </c>
      <c r="AS6" s="18" t="s">
        <v>18</v>
      </c>
      <c r="AT6" s="46" t="s">
        <v>23</v>
      </c>
      <c r="AU6" s="18" t="s">
        <v>22</v>
      </c>
      <c r="AV6" s="36" t="s">
        <v>21</v>
      </c>
    </row>
    <row r="7" spans="2:48" x14ac:dyDescent="0.25">
      <c r="B7" s="5" t="s">
        <v>14</v>
      </c>
      <c r="C7" s="5"/>
      <c r="D7" s="7"/>
      <c r="E7" s="7" t="str">
        <f>"0/1"</f>
        <v>0/1</v>
      </c>
      <c r="F7" s="7"/>
      <c r="G7" s="6"/>
      <c r="H7" s="6">
        <v>1</v>
      </c>
      <c r="I7" s="6"/>
      <c r="J7" s="6"/>
      <c r="K7" s="6"/>
      <c r="L7" s="5">
        <v>2</v>
      </c>
      <c r="M7" s="7"/>
      <c r="N7" s="7" t="str">
        <f>"1/1"</f>
        <v>1/1</v>
      </c>
      <c r="O7" s="7"/>
      <c r="P7" s="6"/>
      <c r="Q7" s="6">
        <v>2</v>
      </c>
      <c r="R7" s="6"/>
      <c r="S7" s="6">
        <v>1</v>
      </c>
      <c r="T7" s="6">
        <v>1</v>
      </c>
      <c r="U7" s="5"/>
      <c r="V7" s="7"/>
      <c r="W7" s="7"/>
      <c r="X7" s="7"/>
      <c r="Y7" s="6"/>
      <c r="Z7" s="6"/>
      <c r="AA7" s="6"/>
      <c r="AB7" s="6">
        <v>1</v>
      </c>
      <c r="AC7" s="6"/>
      <c r="AD7" s="5"/>
      <c r="AE7" s="7"/>
      <c r="AF7" s="7" t="str">
        <f>"0/1"</f>
        <v>0/1</v>
      </c>
      <c r="AG7" s="7"/>
      <c r="AH7" s="6"/>
      <c r="AI7" s="6"/>
      <c r="AJ7" s="6"/>
      <c r="AK7" s="6">
        <v>2</v>
      </c>
      <c r="AL7" s="6"/>
      <c r="AM7" s="25">
        <f>C7+L7+U7+AD7</f>
        <v>2</v>
      </c>
      <c r="AN7" s="26"/>
      <c r="AO7" s="26" t="str">
        <f>"1/3"</f>
        <v>1/3</v>
      </c>
      <c r="AP7" s="26"/>
      <c r="AQ7" s="32">
        <f t="shared" ref="AQ7:AR10" si="0">G7+P7+Y7+AH7</f>
        <v>0</v>
      </c>
      <c r="AR7" s="28">
        <f t="shared" si="0"/>
        <v>3</v>
      </c>
      <c r="AS7" s="27">
        <f t="shared" ref="AS7:AS17" si="1">I7+R7+AA7+AJ7</f>
        <v>0</v>
      </c>
      <c r="AT7" s="29">
        <f>AR7+AS7</f>
        <v>3</v>
      </c>
      <c r="AU7" s="27">
        <f>J7+S7+AB7+AK7</f>
        <v>4</v>
      </c>
      <c r="AV7" s="37">
        <f>K7+T7+AC7+AL7</f>
        <v>1</v>
      </c>
    </row>
    <row r="8" spans="2:48" x14ac:dyDescent="0.25">
      <c r="B8" s="5" t="s">
        <v>12</v>
      </c>
      <c r="C8" s="5">
        <v>8</v>
      </c>
      <c r="D8" s="7"/>
      <c r="E8" s="7" t="str">
        <f>"4/6"</f>
        <v>4/6</v>
      </c>
      <c r="F8" s="7"/>
      <c r="G8" s="6"/>
      <c r="H8" s="6">
        <v>1</v>
      </c>
      <c r="I8" s="6">
        <v>3</v>
      </c>
      <c r="J8" s="6"/>
      <c r="K8" s="6">
        <v>2</v>
      </c>
      <c r="L8" s="5">
        <v>2</v>
      </c>
      <c r="M8" s="7"/>
      <c r="N8" s="7" t="str">
        <f>"1/2"</f>
        <v>1/2</v>
      </c>
      <c r="O8" s="7"/>
      <c r="P8" s="6"/>
      <c r="Q8" s="6"/>
      <c r="R8" s="6"/>
      <c r="S8" s="6"/>
      <c r="T8" s="6">
        <v>2</v>
      </c>
      <c r="U8" s="5">
        <v>5</v>
      </c>
      <c r="V8" s="7" t="str">
        <f>"3/4"</f>
        <v>3/4</v>
      </c>
      <c r="W8" s="7" t="str">
        <f>"1/5"</f>
        <v>1/5</v>
      </c>
      <c r="X8" s="7"/>
      <c r="Y8" s="6"/>
      <c r="Z8" s="6">
        <v>6</v>
      </c>
      <c r="AA8" s="6">
        <v>4</v>
      </c>
      <c r="AB8" s="6">
        <v>2</v>
      </c>
      <c r="AC8" s="6"/>
      <c r="AD8" s="5"/>
      <c r="AE8" s="7"/>
      <c r="AF8" s="7" t="str">
        <f>"0/1"</f>
        <v>0/1</v>
      </c>
      <c r="AG8" s="7"/>
      <c r="AH8" s="6"/>
      <c r="AI8" s="6"/>
      <c r="AJ8" s="6">
        <v>2</v>
      </c>
      <c r="AK8" s="6">
        <v>1</v>
      </c>
      <c r="AL8" s="6">
        <v>1</v>
      </c>
      <c r="AM8" s="15">
        <f>C8+L8+U8+AD8</f>
        <v>15</v>
      </c>
      <c r="AN8" s="19" t="str">
        <f>"3/4"</f>
        <v>3/4</v>
      </c>
      <c r="AO8" s="19" t="str">
        <f>"6/14"</f>
        <v>6/14</v>
      </c>
      <c r="AP8" s="19"/>
      <c r="AQ8" s="33">
        <f t="shared" si="0"/>
        <v>0</v>
      </c>
      <c r="AR8" s="21">
        <f t="shared" si="0"/>
        <v>7</v>
      </c>
      <c r="AS8" s="6">
        <f>I8+R8+AA8+AJ8</f>
        <v>9</v>
      </c>
      <c r="AT8" s="22">
        <f t="shared" ref="AT8" si="2">AR8+AS8</f>
        <v>16</v>
      </c>
      <c r="AU8" s="6">
        <f>J8+S8+AB8+AK8</f>
        <v>3</v>
      </c>
      <c r="AV8" s="38">
        <f>K8+T8+AC8+AL8</f>
        <v>5</v>
      </c>
    </row>
    <row r="9" spans="2:48" x14ac:dyDescent="0.25">
      <c r="B9" s="5" t="s">
        <v>41</v>
      </c>
      <c r="C9" s="5">
        <v>5</v>
      </c>
      <c r="D9" s="7" t="str">
        <f>"1/2"</f>
        <v>1/2</v>
      </c>
      <c r="E9" s="7" t="str">
        <f>"2/5"</f>
        <v>2/5</v>
      </c>
      <c r="F9" s="7"/>
      <c r="G9" s="6"/>
      <c r="H9" s="6"/>
      <c r="I9" s="6"/>
      <c r="J9" s="6">
        <v>1</v>
      </c>
      <c r="K9" s="6">
        <v>2</v>
      </c>
      <c r="L9" s="5">
        <v>2</v>
      </c>
      <c r="M9" s="7"/>
      <c r="N9" s="7" t="str">
        <f>"1/2"</f>
        <v>1/2</v>
      </c>
      <c r="O9" s="7"/>
      <c r="P9" s="6"/>
      <c r="Q9" s="6"/>
      <c r="R9" s="6"/>
      <c r="S9" s="6">
        <v>2</v>
      </c>
      <c r="T9" s="6">
        <v>1</v>
      </c>
      <c r="U9" s="5">
        <v>7</v>
      </c>
      <c r="V9" s="7" t="str">
        <f>"1/2"</f>
        <v>1/2</v>
      </c>
      <c r="W9" s="7" t="str">
        <f>"3/6"</f>
        <v>3/6</v>
      </c>
      <c r="X9" s="7" t="str">
        <f>"0/1"</f>
        <v>0/1</v>
      </c>
      <c r="Y9" s="6"/>
      <c r="Z9" s="6"/>
      <c r="AA9" s="6"/>
      <c r="AB9" s="6">
        <v>2</v>
      </c>
      <c r="AC9" s="6"/>
      <c r="AD9" s="5">
        <v>2</v>
      </c>
      <c r="AE9" s="7"/>
      <c r="AF9" s="7" t="str">
        <f>"1/1"</f>
        <v>1/1</v>
      </c>
      <c r="AG9" s="7"/>
      <c r="AH9" s="6"/>
      <c r="AI9" s="6">
        <v>1</v>
      </c>
      <c r="AJ9" s="6"/>
      <c r="AK9" s="6"/>
      <c r="AL9" s="6"/>
      <c r="AM9" s="15">
        <f>C9+L9+U9+AD9</f>
        <v>16</v>
      </c>
      <c r="AN9" s="19" t="str">
        <f>"2/4"</f>
        <v>2/4</v>
      </c>
      <c r="AO9" s="19" t="str">
        <f>"7/14"</f>
        <v>7/14</v>
      </c>
      <c r="AP9" s="19" t="str">
        <f>"0/1"</f>
        <v>0/1</v>
      </c>
      <c r="AQ9" s="33">
        <f t="shared" si="0"/>
        <v>0</v>
      </c>
      <c r="AR9" s="21">
        <f t="shared" si="0"/>
        <v>1</v>
      </c>
      <c r="AS9" s="6">
        <f>I9+R9+AA9+AJ9</f>
        <v>0</v>
      </c>
      <c r="AT9" s="22">
        <f t="shared" ref="AT9:AT17" si="3">AR9+AS9</f>
        <v>1</v>
      </c>
      <c r="AU9" s="6">
        <f>J9+S8+AB9+AK9</f>
        <v>3</v>
      </c>
      <c r="AV9" s="38">
        <f>K9+T9+AC9+AL9</f>
        <v>3</v>
      </c>
    </row>
    <row r="10" spans="2:48" x14ac:dyDescent="0.25">
      <c r="B10" s="5" t="s">
        <v>10</v>
      </c>
      <c r="C10" s="5">
        <v>4</v>
      </c>
      <c r="D10" s="7"/>
      <c r="E10" s="7" t="str">
        <f>"2/2"</f>
        <v>2/2</v>
      </c>
      <c r="F10" s="7"/>
      <c r="G10" s="6"/>
      <c r="H10" s="6"/>
      <c r="I10" s="6"/>
      <c r="J10" s="6"/>
      <c r="K10" s="6"/>
      <c r="L10" s="5"/>
      <c r="M10" s="7"/>
      <c r="N10" s="7" t="str">
        <f>"0/3"</f>
        <v>0/3</v>
      </c>
      <c r="O10" s="7"/>
      <c r="P10" s="6"/>
      <c r="Q10" s="6">
        <v>1</v>
      </c>
      <c r="R10" s="6"/>
      <c r="S10" s="6"/>
      <c r="T10" s="6"/>
      <c r="U10" s="5"/>
      <c r="V10" s="7"/>
      <c r="W10" s="7"/>
      <c r="X10" s="7"/>
      <c r="Y10" s="6"/>
      <c r="Z10" s="6"/>
      <c r="AA10" s="6"/>
      <c r="AB10" s="6"/>
      <c r="AC10" s="6"/>
      <c r="AD10" s="5"/>
      <c r="AE10" s="7"/>
      <c r="AF10" s="7"/>
      <c r="AG10" s="7"/>
      <c r="AH10" s="6"/>
      <c r="AI10" s="6"/>
      <c r="AJ10" s="6"/>
      <c r="AK10" s="6"/>
      <c r="AL10" s="6"/>
      <c r="AM10" s="15">
        <f>C10+L10+U10+AD10</f>
        <v>4</v>
      </c>
      <c r="AN10" s="19"/>
      <c r="AO10" s="19" t="str">
        <f>"2/5"</f>
        <v>2/5</v>
      </c>
      <c r="AP10" s="19"/>
      <c r="AQ10" s="33">
        <f t="shared" si="0"/>
        <v>0</v>
      </c>
      <c r="AR10" s="21">
        <f t="shared" si="0"/>
        <v>1</v>
      </c>
      <c r="AS10" s="6">
        <f t="shared" si="1"/>
        <v>0</v>
      </c>
      <c r="AT10" s="22">
        <f t="shared" si="3"/>
        <v>1</v>
      </c>
      <c r="AU10" s="6">
        <f t="shared" ref="AU10:AV17" si="4">J10+S10+AB10+AK10</f>
        <v>0</v>
      </c>
      <c r="AV10" s="38">
        <f t="shared" si="4"/>
        <v>0</v>
      </c>
    </row>
    <row r="11" spans="2:48" x14ac:dyDescent="0.25">
      <c r="B11" s="5" t="s">
        <v>15</v>
      </c>
      <c r="C11" s="5">
        <v>3</v>
      </c>
      <c r="D11" s="7"/>
      <c r="E11" s="7"/>
      <c r="F11" s="7" t="str">
        <f>"1/1"</f>
        <v>1/1</v>
      </c>
      <c r="G11" s="6"/>
      <c r="H11" s="6"/>
      <c r="I11" s="6"/>
      <c r="J11" s="6">
        <v>2</v>
      </c>
      <c r="K11" s="6"/>
      <c r="L11" s="5"/>
      <c r="M11" s="7"/>
      <c r="N11" s="7" t="str">
        <f>"0/1"</f>
        <v>0/1</v>
      </c>
      <c r="O11" s="7" t="str">
        <f>"0/1"</f>
        <v>0/1</v>
      </c>
      <c r="P11" s="6"/>
      <c r="Q11" s="6"/>
      <c r="R11" s="6"/>
      <c r="S11" s="6">
        <v>2</v>
      </c>
      <c r="T11" s="6"/>
      <c r="U11" s="5">
        <v>2</v>
      </c>
      <c r="V11" s="7"/>
      <c r="W11" s="7" t="str">
        <f>"1/1"</f>
        <v>1/1</v>
      </c>
      <c r="X11" s="7"/>
      <c r="Y11" s="6">
        <v>1</v>
      </c>
      <c r="Z11" s="6"/>
      <c r="AA11" s="6"/>
      <c r="AB11" s="6">
        <v>2</v>
      </c>
      <c r="AC11" s="6"/>
      <c r="AD11" s="5">
        <v>2</v>
      </c>
      <c r="AE11" s="7"/>
      <c r="AF11" s="7" t="str">
        <f>"1/2"</f>
        <v>1/2</v>
      </c>
      <c r="AG11" s="7" t="str">
        <f>"0/1"</f>
        <v>0/1</v>
      </c>
      <c r="AH11" s="6">
        <v>1</v>
      </c>
      <c r="AI11" s="6"/>
      <c r="AJ11" s="6"/>
      <c r="AK11" s="6"/>
      <c r="AL11" s="6"/>
      <c r="AM11" s="15">
        <f t="shared" ref="AM11:AM12" si="5">C11+L11+U11+AD11</f>
        <v>7</v>
      </c>
      <c r="AN11" s="19"/>
      <c r="AO11" s="19" t="str">
        <f>"2/4"</f>
        <v>2/4</v>
      </c>
      <c r="AP11" s="19" t="str">
        <f>"1/3"</f>
        <v>1/3</v>
      </c>
      <c r="AQ11" s="33">
        <f t="shared" ref="AQ11:AR17" si="6">G11+P11+Y11+AH11</f>
        <v>2</v>
      </c>
      <c r="AR11" s="21">
        <f t="shared" si="6"/>
        <v>0</v>
      </c>
      <c r="AS11" s="6">
        <f t="shared" si="1"/>
        <v>0</v>
      </c>
      <c r="AT11" s="22">
        <f t="shared" si="3"/>
        <v>0</v>
      </c>
      <c r="AU11" s="6">
        <f t="shared" si="4"/>
        <v>6</v>
      </c>
      <c r="AV11" s="38">
        <f t="shared" si="4"/>
        <v>0</v>
      </c>
    </row>
    <row r="12" spans="2:48" x14ac:dyDescent="0.25">
      <c r="B12" s="5" t="s">
        <v>11</v>
      </c>
      <c r="C12" s="5"/>
      <c r="D12" s="7"/>
      <c r="E12" s="7"/>
      <c r="F12" s="7"/>
      <c r="G12" s="6"/>
      <c r="H12" s="6"/>
      <c r="I12" s="6"/>
      <c r="J12" s="6">
        <v>1</v>
      </c>
      <c r="K12" s="6"/>
      <c r="L12" s="5"/>
      <c r="M12" s="7"/>
      <c r="N12" s="7" t="str">
        <f>"0/1"</f>
        <v>0/1</v>
      </c>
      <c r="O12" s="7"/>
      <c r="P12" s="6">
        <v>1</v>
      </c>
      <c r="Q12" s="6"/>
      <c r="R12" s="6"/>
      <c r="S12" s="6">
        <v>2</v>
      </c>
      <c r="T12" s="6"/>
      <c r="U12" s="5"/>
      <c r="V12" s="7"/>
      <c r="W12" s="7"/>
      <c r="X12" s="7"/>
      <c r="Y12" s="6"/>
      <c r="Z12" s="6"/>
      <c r="AA12" s="6"/>
      <c r="AB12" s="6"/>
      <c r="AC12" s="6"/>
      <c r="AD12" s="5">
        <v>1</v>
      </c>
      <c r="AE12" s="7" t="str">
        <f>"1/2"</f>
        <v>1/2</v>
      </c>
      <c r="AF12" s="7" t="str">
        <f>"0/2"</f>
        <v>0/2</v>
      </c>
      <c r="AG12" s="7"/>
      <c r="AH12" s="6"/>
      <c r="AI12" s="6"/>
      <c r="AJ12" s="6">
        <v>1</v>
      </c>
      <c r="AK12" s="6"/>
      <c r="AL12" s="6"/>
      <c r="AM12" s="15">
        <f t="shared" si="5"/>
        <v>1</v>
      </c>
      <c r="AN12" s="19" t="str">
        <f>"1/2"</f>
        <v>1/2</v>
      </c>
      <c r="AO12" s="19" t="str">
        <f>"0/3"</f>
        <v>0/3</v>
      </c>
      <c r="AP12" s="19"/>
      <c r="AQ12" s="33">
        <f t="shared" si="6"/>
        <v>1</v>
      </c>
      <c r="AR12" s="21">
        <f t="shared" si="6"/>
        <v>0</v>
      </c>
      <c r="AS12" s="6">
        <f t="shared" si="1"/>
        <v>1</v>
      </c>
      <c r="AT12" s="22">
        <f t="shared" si="3"/>
        <v>1</v>
      </c>
      <c r="AU12" s="6">
        <f t="shared" si="4"/>
        <v>3</v>
      </c>
      <c r="AV12" s="38">
        <f t="shared" si="4"/>
        <v>0</v>
      </c>
    </row>
    <row r="13" spans="2:48" x14ac:dyDescent="0.25">
      <c r="B13" s="5" t="s">
        <v>13</v>
      </c>
      <c r="C13" s="5"/>
      <c r="D13" s="7"/>
      <c r="E13" s="7"/>
      <c r="F13" s="7"/>
      <c r="G13" s="6">
        <v>2</v>
      </c>
      <c r="H13" s="6"/>
      <c r="I13" s="6"/>
      <c r="J13" s="6">
        <v>3</v>
      </c>
      <c r="K13" s="6"/>
      <c r="L13" s="5"/>
      <c r="M13" s="7"/>
      <c r="N13" s="7" t="str">
        <f>"0/1"</f>
        <v>0/1</v>
      </c>
      <c r="O13" s="7"/>
      <c r="P13" s="6"/>
      <c r="Q13" s="6"/>
      <c r="R13" s="6">
        <v>1</v>
      </c>
      <c r="S13" s="6">
        <v>2</v>
      </c>
      <c r="T13" s="6"/>
      <c r="U13" s="5"/>
      <c r="V13" s="7"/>
      <c r="W13" s="7"/>
      <c r="X13" s="7"/>
      <c r="Y13" s="6"/>
      <c r="Z13" s="6"/>
      <c r="AA13" s="6"/>
      <c r="AB13" s="6">
        <v>2</v>
      </c>
      <c r="AC13" s="6"/>
      <c r="AD13" s="5"/>
      <c r="AE13" s="7"/>
      <c r="AF13" s="7"/>
      <c r="AG13" s="7"/>
      <c r="AH13" s="6"/>
      <c r="AI13" s="6"/>
      <c r="AJ13" s="6"/>
      <c r="AK13" s="6">
        <v>1</v>
      </c>
      <c r="AL13" s="6"/>
      <c r="AM13" s="15">
        <f>C13+L13+U13+AD13</f>
        <v>0</v>
      </c>
      <c r="AN13" s="19"/>
      <c r="AO13" s="19" t="str">
        <f>"0/1"</f>
        <v>0/1</v>
      </c>
      <c r="AP13" s="19"/>
      <c r="AQ13" s="33">
        <f t="shared" si="6"/>
        <v>2</v>
      </c>
      <c r="AR13" s="21">
        <f t="shared" si="6"/>
        <v>0</v>
      </c>
      <c r="AS13" s="6">
        <f t="shared" si="1"/>
        <v>1</v>
      </c>
      <c r="AT13" s="22">
        <f t="shared" si="3"/>
        <v>1</v>
      </c>
      <c r="AU13" s="6">
        <f t="shared" si="4"/>
        <v>8</v>
      </c>
      <c r="AV13" s="38">
        <f t="shared" si="4"/>
        <v>0</v>
      </c>
    </row>
    <row r="14" spans="2:48" x14ac:dyDescent="0.25">
      <c r="B14" s="5" t="s">
        <v>67</v>
      </c>
      <c r="C14" s="5"/>
      <c r="D14" s="7"/>
      <c r="E14" s="7"/>
      <c r="F14" s="7" t="str">
        <f>"0/1"</f>
        <v>0/1</v>
      </c>
      <c r="G14" s="6"/>
      <c r="H14" s="6"/>
      <c r="I14" s="6"/>
      <c r="J14" s="6"/>
      <c r="K14" s="6"/>
      <c r="L14" s="5"/>
      <c r="M14" s="7"/>
      <c r="N14" s="7" t="str">
        <f>"0/1"</f>
        <v>0/1</v>
      </c>
      <c r="O14" s="7" t="str">
        <f>"0/1"</f>
        <v>0/1</v>
      </c>
      <c r="P14" s="6"/>
      <c r="Q14" s="6"/>
      <c r="R14" s="6"/>
      <c r="S14" s="6">
        <v>3</v>
      </c>
      <c r="T14" s="6"/>
      <c r="U14" s="5"/>
      <c r="V14" s="7"/>
      <c r="W14" s="7"/>
      <c r="X14" s="7"/>
      <c r="Y14" s="6"/>
      <c r="Z14" s="6"/>
      <c r="AA14" s="6"/>
      <c r="AB14" s="6"/>
      <c r="AC14" s="6"/>
      <c r="AD14" s="5">
        <v>6</v>
      </c>
      <c r="AE14" s="7"/>
      <c r="AF14" s="7" t="str">
        <f>"3/6"</f>
        <v>3/6</v>
      </c>
      <c r="AG14" s="7"/>
      <c r="AH14" s="6"/>
      <c r="AI14" s="6">
        <v>1</v>
      </c>
      <c r="AJ14" s="6"/>
      <c r="AK14" s="6"/>
      <c r="AL14" s="6">
        <v>1</v>
      </c>
      <c r="AM14" s="15">
        <f>C14+L14+U14+AD14</f>
        <v>6</v>
      </c>
      <c r="AN14" s="19"/>
      <c r="AO14" s="19" t="str">
        <f>"3/8"</f>
        <v>3/8</v>
      </c>
      <c r="AP14" s="19"/>
      <c r="AQ14" s="33">
        <f t="shared" si="6"/>
        <v>0</v>
      </c>
      <c r="AR14" s="21">
        <f t="shared" si="6"/>
        <v>1</v>
      </c>
      <c r="AS14" s="6">
        <f t="shared" si="1"/>
        <v>0</v>
      </c>
      <c r="AT14" s="22">
        <f t="shared" si="3"/>
        <v>1</v>
      </c>
      <c r="AU14" s="6">
        <f t="shared" si="4"/>
        <v>3</v>
      </c>
      <c r="AV14" s="38">
        <f t="shared" si="4"/>
        <v>1</v>
      </c>
    </row>
    <row r="15" spans="2:48" x14ac:dyDescent="0.25">
      <c r="B15" s="5" t="s">
        <v>16</v>
      </c>
      <c r="C15" s="5"/>
      <c r="D15" s="7"/>
      <c r="E15" s="7"/>
      <c r="F15" s="7"/>
      <c r="G15" s="6"/>
      <c r="H15" s="6"/>
      <c r="I15" s="6"/>
      <c r="J15" s="6"/>
      <c r="K15" s="6"/>
      <c r="L15" s="5"/>
      <c r="M15" s="7"/>
      <c r="N15" s="7"/>
      <c r="O15" s="7"/>
      <c r="P15" s="6"/>
      <c r="Q15" s="6"/>
      <c r="R15" s="6"/>
      <c r="S15" s="6"/>
      <c r="T15" s="6"/>
      <c r="U15" s="5"/>
      <c r="V15" s="7"/>
      <c r="W15" s="7" t="str">
        <f>"0/1"</f>
        <v>0/1</v>
      </c>
      <c r="X15" s="7"/>
      <c r="Y15" s="6"/>
      <c r="Z15" s="6">
        <v>1</v>
      </c>
      <c r="AA15" s="6"/>
      <c r="AB15" s="6"/>
      <c r="AC15" s="6"/>
      <c r="AD15" s="5"/>
      <c r="AE15" s="7"/>
      <c r="AF15" s="7"/>
      <c r="AG15" s="7"/>
      <c r="AH15" s="6"/>
      <c r="AI15" s="6"/>
      <c r="AJ15" s="6"/>
      <c r="AK15" s="6"/>
      <c r="AL15" s="6"/>
      <c r="AM15" s="15">
        <f>C15+L15+U15+AD15</f>
        <v>0</v>
      </c>
      <c r="AN15" s="19"/>
      <c r="AO15" s="19" t="str">
        <f>"0/1"</f>
        <v>0/1</v>
      </c>
      <c r="AP15" s="19"/>
      <c r="AQ15" s="33">
        <f t="shared" si="6"/>
        <v>0</v>
      </c>
      <c r="AR15" s="21">
        <f t="shared" si="6"/>
        <v>1</v>
      </c>
      <c r="AS15" s="6">
        <f t="shared" si="1"/>
        <v>0</v>
      </c>
      <c r="AT15" s="22">
        <f t="shared" si="3"/>
        <v>1</v>
      </c>
      <c r="AU15" s="6">
        <f t="shared" si="4"/>
        <v>0</v>
      </c>
      <c r="AV15" s="38">
        <f t="shared" si="4"/>
        <v>0</v>
      </c>
    </row>
    <row r="16" spans="2:48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15">
        <f>C16+L16+U16+AD16</f>
        <v>0</v>
      </c>
      <c r="AN16" s="19"/>
      <c r="AO16" s="19"/>
      <c r="AP16" s="19"/>
      <c r="AQ16" s="33">
        <f t="shared" si="6"/>
        <v>0</v>
      </c>
      <c r="AR16" s="21">
        <f t="shared" si="6"/>
        <v>0</v>
      </c>
      <c r="AS16" s="6">
        <f t="shared" si="1"/>
        <v>0</v>
      </c>
      <c r="AT16" s="22">
        <f t="shared" si="3"/>
        <v>0</v>
      </c>
      <c r="AU16" s="6">
        <f t="shared" si="4"/>
        <v>0</v>
      </c>
      <c r="AV16" s="38">
        <f t="shared" si="4"/>
        <v>0</v>
      </c>
    </row>
    <row r="17" spans="2:48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16">
        <f>C17+L17+U17+AD17</f>
        <v>0</v>
      </c>
      <c r="AN17" s="20"/>
      <c r="AO17" s="20"/>
      <c r="AP17" s="20"/>
      <c r="AQ17" s="34">
        <f t="shared" si="6"/>
        <v>0</v>
      </c>
      <c r="AR17" s="30">
        <f t="shared" si="6"/>
        <v>0</v>
      </c>
      <c r="AS17" s="4">
        <f t="shared" si="1"/>
        <v>0</v>
      </c>
      <c r="AT17" s="31">
        <f t="shared" si="3"/>
        <v>0</v>
      </c>
      <c r="AU17" s="4">
        <f t="shared" si="4"/>
        <v>0</v>
      </c>
      <c r="AV17" s="39">
        <f t="shared" si="4"/>
        <v>0</v>
      </c>
    </row>
    <row r="18" spans="2:48" s="9" customFormat="1" thickBot="1" x14ac:dyDescent="0.25">
      <c r="C18" s="11">
        <f>SUM(C7:C17)</f>
        <v>20</v>
      </c>
      <c r="D18" s="10" t="str">
        <f>"1/2"</f>
        <v>1/2</v>
      </c>
      <c r="E18" s="10" t="str">
        <f>"8/14"</f>
        <v>8/14</v>
      </c>
      <c r="F18" s="10" t="str">
        <f>"1/1"</f>
        <v>1/1</v>
      </c>
      <c r="G18" s="9">
        <f>SUM(G7:G17)</f>
        <v>2</v>
      </c>
      <c r="H18" s="9">
        <f t="shared" ref="H18:K18" si="7">SUM(H7:H17)</f>
        <v>2</v>
      </c>
      <c r="I18" s="9">
        <f t="shared" si="7"/>
        <v>3</v>
      </c>
      <c r="J18" s="9">
        <f t="shared" si="7"/>
        <v>7</v>
      </c>
      <c r="K18" s="9">
        <f t="shared" si="7"/>
        <v>4</v>
      </c>
      <c r="L18" s="11">
        <f>SUM(L7:L17)</f>
        <v>6</v>
      </c>
      <c r="M18" s="10"/>
      <c r="N18" s="10" t="str">
        <f>"3/12"</f>
        <v>3/12</v>
      </c>
      <c r="O18" s="47" t="str">
        <f>"0/2"</f>
        <v>0/2</v>
      </c>
      <c r="P18" s="9">
        <f>SUM(P7:P17)</f>
        <v>1</v>
      </c>
      <c r="Q18" s="9">
        <f t="shared" ref="Q18:T18" si="8">SUM(Q7:Q17)</f>
        <v>3</v>
      </c>
      <c r="R18" s="9">
        <f t="shared" si="8"/>
        <v>1</v>
      </c>
      <c r="S18" s="9">
        <f t="shared" si="8"/>
        <v>12</v>
      </c>
      <c r="T18" s="9">
        <f t="shared" si="8"/>
        <v>4</v>
      </c>
      <c r="U18" s="11">
        <f>SUM(U7:U17)</f>
        <v>14</v>
      </c>
      <c r="V18" s="10" t="str">
        <f>"4/6"</f>
        <v>4/6</v>
      </c>
      <c r="W18" s="10" t="str">
        <f>"5/13"</f>
        <v>5/13</v>
      </c>
      <c r="X18" s="10" t="str">
        <f>"0/1"</f>
        <v>0/1</v>
      </c>
      <c r="Y18" s="9">
        <f>SUM(Y7:Y17)</f>
        <v>1</v>
      </c>
      <c r="Z18" s="9">
        <f t="shared" ref="Z18:AC18" si="9">SUM(Z7:Z17)</f>
        <v>7</v>
      </c>
      <c r="AA18" s="9">
        <f t="shared" si="9"/>
        <v>4</v>
      </c>
      <c r="AB18" s="9">
        <f t="shared" si="9"/>
        <v>9</v>
      </c>
      <c r="AC18" s="9">
        <f t="shared" si="9"/>
        <v>0</v>
      </c>
      <c r="AD18" s="11">
        <f>SUM(AD7:AD17)</f>
        <v>11</v>
      </c>
      <c r="AE18" s="10" t="str">
        <f>"1/2"</f>
        <v>1/2</v>
      </c>
      <c r="AF18" s="10" t="str">
        <f>"5/13"</f>
        <v>5/13</v>
      </c>
      <c r="AG18" s="10" t="str">
        <f>"0/1"</f>
        <v>0/1</v>
      </c>
      <c r="AH18" s="9">
        <f>SUM(AH7:AH17)</f>
        <v>1</v>
      </c>
      <c r="AI18" s="9">
        <f t="shared" ref="AI18:AL18" si="10">SUM(AI7:AI17)</f>
        <v>2</v>
      </c>
      <c r="AJ18" s="9">
        <f t="shared" si="10"/>
        <v>3</v>
      </c>
      <c r="AK18" s="9">
        <f t="shared" si="10"/>
        <v>4</v>
      </c>
      <c r="AL18" s="9">
        <f t="shared" si="10"/>
        <v>2</v>
      </c>
      <c r="AM18" s="12">
        <f>SUM(AM7:AM17)</f>
        <v>51</v>
      </c>
      <c r="AN18" s="13" t="str">
        <f>"6/10"</f>
        <v>6/10</v>
      </c>
      <c r="AO18" s="13" t="str">
        <f>"21/53"</f>
        <v>21/53</v>
      </c>
      <c r="AP18" s="13" t="str">
        <f>"1/4"</f>
        <v>1/4</v>
      </c>
      <c r="AQ18" s="11">
        <f t="shared" ref="AQ18:AV18" si="11">SUM(AQ7:AQ17)</f>
        <v>5</v>
      </c>
      <c r="AR18" s="11">
        <f t="shared" si="11"/>
        <v>14</v>
      </c>
      <c r="AS18" s="11">
        <f t="shared" si="11"/>
        <v>11</v>
      </c>
      <c r="AT18" s="11">
        <f t="shared" si="11"/>
        <v>25</v>
      </c>
      <c r="AU18" s="11">
        <f t="shared" si="11"/>
        <v>30</v>
      </c>
      <c r="AV18" s="11">
        <f t="shared" si="11"/>
        <v>10</v>
      </c>
    </row>
    <row r="19" spans="2:48" s="40" customFormat="1" thickBot="1" x14ac:dyDescent="0.25">
      <c r="B19" s="40" t="s">
        <v>54</v>
      </c>
      <c r="F19" s="67" t="str">
        <f>"20/13"</f>
        <v>20/13</v>
      </c>
      <c r="G19" s="68"/>
      <c r="H19" s="68"/>
      <c r="I19" s="68"/>
      <c r="J19" s="68"/>
      <c r="K19" s="69"/>
      <c r="O19" s="67" t="str">
        <f>"6/26"</f>
        <v>6/26</v>
      </c>
      <c r="P19" s="68"/>
      <c r="Q19" s="68"/>
      <c r="R19" s="68"/>
      <c r="S19" s="68"/>
      <c r="T19" s="69"/>
      <c r="X19" s="67" t="str">
        <f>"14/10"</f>
        <v>14/10</v>
      </c>
      <c r="Y19" s="68"/>
      <c r="Z19" s="68"/>
      <c r="AA19" s="68"/>
      <c r="AB19" s="68"/>
      <c r="AC19" s="69"/>
      <c r="AG19" s="67" t="str">
        <f>"11/14"</f>
        <v>11/14</v>
      </c>
      <c r="AH19" s="68"/>
      <c r="AI19" s="68"/>
      <c r="AJ19" s="68"/>
      <c r="AK19" s="68"/>
      <c r="AL19" s="69"/>
      <c r="AN19" s="14">
        <f>6/10</f>
        <v>0.6</v>
      </c>
      <c r="AO19" s="14">
        <f>21/53</f>
        <v>0.39622641509433965</v>
      </c>
      <c r="AP19" s="14">
        <f>1/4</f>
        <v>0.25</v>
      </c>
    </row>
    <row r="20" spans="2:48" ht="15.75" thickBot="1" x14ac:dyDescent="0.3">
      <c r="B20" s="41" t="s">
        <v>25</v>
      </c>
      <c r="L20" s="60" t="s">
        <v>55</v>
      </c>
      <c r="M20" s="60"/>
      <c r="N20" s="61"/>
      <c r="O20" s="57" t="str">
        <f>"26/39"</f>
        <v>26/39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"40/49"</f>
        <v>40/49</v>
      </c>
      <c r="Y20" s="58"/>
      <c r="Z20" s="58"/>
      <c r="AA20" s="58"/>
      <c r="AB20" s="58"/>
      <c r="AC20" s="59"/>
      <c r="AF20" s="44" t="s">
        <v>45</v>
      </c>
    </row>
    <row r="21" spans="2:48" x14ac:dyDescent="0.25">
      <c r="C21" s="1" t="s">
        <v>28</v>
      </c>
      <c r="D21" s="1" t="s">
        <v>26</v>
      </c>
      <c r="AG21" s="1" t="s">
        <v>81</v>
      </c>
      <c r="AN21" s="42" t="s">
        <v>82</v>
      </c>
      <c r="AO21" s="42" t="s">
        <v>83</v>
      </c>
      <c r="AP21" s="42" t="s">
        <v>84</v>
      </c>
      <c r="AQ21" s="43">
        <v>7</v>
      </c>
      <c r="AR21" s="43">
        <v>29</v>
      </c>
      <c r="AS21" s="43">
        <v>13</v>
      </c>
      <c r="AT21" s="43">
        <v>42</v>
      </c>
      <c r="AU21" s="43">
        <v>23</v>
      </c>
      <c r="AV21" s="43">
        <v>9</v>
      </c>
    </row>
    <row r="22" spans="2:48" x14ac:dyDescent="0.25">
      <c r="C22" s="1" t="s">
        <v>20</v>
      </c>
      <c r="D22" s="1" t="s">
        <v>27</v>
      </c>
      <c r="AN22" s="14">
        <v>0.30769230769230771</v>
      </c>
      <c r="AO22" s="14">
        <v>0.37931034482758619</v>
      </c>
      <c r="AP22" s="14">
        <v>0.5</v>
      </c>
    </row>
    <row r="23" spans="2:48" x14ac:dyDescent="0.25">
      <c r="C23" s="1" t="s">
        <v>17</v>
      </c>
      <c r="D23" s="1" t="s">
        <v>29</v>
      </c>
    </row>
    <row r="24" spans="2:48" x14ac:dyDescent="0.25">
      <c r="C24" s="1" t="s">
        <v>18</v>
      </c>
      <c r="D24" s="1" t="s">
        <v>30</v>
      </c>
      <c r="AG24" s="1" t="s">
        <v>77</v>
      </c>
      <c r="AN24" s="42" t="s">
        <v>78</v>
      </c>
      <c r="AO24" s="42" t="s">
        <v>79</v>
      </c>
      <c r="AP24" s="42" t="s">
        <v>80</v>
      </c>
      <c r="AQ24" s="43">
        <v>1</v>
      </c>
      <c r="AR24" s="43">
        <v>31</v>
      </c>
      <c r="AS24" s="43">
        <v>5</v>
      </c>
      <c r="AT24" s="43">
        <v>36</v>
      </c>
      <c r="AU24" s="43">
        <v>34</v>
      </c>
      <c r="AV24" s="43">
        <v>10</v>
      </c>
    </row>
    <row r="25" spans="2:48" x14ac:dyDescent="0.25">
      <c r="C25" s="40" t="s">
        <v>23</v>
      </c>
      <c r="D25" s="40" t="s">
        <v>31</v>
      </c>
      <c r="E25" s="40"/>
      <c r="AN25" s="14">
        <v>0.21428571428571427</v>
      </c>
      <c r="AO25" s="14">
        <v>0.32653061224489793</v>
      </c>
      <c r="AP25" s="14">
        <v>0.44444444444444442</v>
      </c>
    </row>
    <row r="26" spans="2:48" x14ac:dyDescent="0.25">
      <c r="C26" s="1" t="s">
        <v>22</v>
      </c>
      <c r="D26" s="1" t="s">
        <v>32</v>
      </c>
    </row>
    <row r="27" spans="2:48" x14ac:dyDescent="0.25">
      <c r="C27" s="1" t="s">
        <v>21</v>
      </c>
      <c r="D27" s="1" t="s">
        <v>33</v>
      </c>
      <c r="AG27" s="1" t="s">
        <v>70</v>
      </c>
      <c r="AN27" s="42" t="s">
        <v>71</v>
      </c>
      <c r="AO27" s="42" t="s">
        <v>72</v>
      </c>
      <c r="AP27" s="42" t="s">
        <v>73</v>
      </c>
      <c r="AQ27" s="43">
        <v>3</v>
      </c>
      <c r="AR27" s="43">
        <v>31</v>
      </c>
      <c r="AS27" s="43">
        <v>12</v>
      </c>
      <c r="AT27" s="43">
        <v>43</v>
      </c>
      <c r="AU27" s="43">
        <v>26</v>
      </c>
      <c r="AV27" s="43">
        <v>11</v>
      </c>
    </row>
    <row r="28" spans="2:48" x14ac:dyDescent="0.25">
      <c r="AN28" s="14">
        <v>0.23809523809523808</v>
      </c>
      <c r="AO28" s="14">
        <v>0.26315789473684209</v>
      </c>
      <c r="AP28" s="14">
        <v>0.33333333333333331</v>
      </c>
    </row>
    <row r="30" spans="2:48" x14ac:dyDescent="0.25">
      <c r="AG30" s="1" t="s">
        <v>64</v>
      </c>
      <c r="AN30" s="42" t="s">
        <v>65</v>
      </c>
      <c r="AO30" s="42" t="s">
        <v>66</v>
      </c>
      <c r="AP30" s="42" t="s">
        <v>52</v>
      </c>
      <c r="AQ30" s="43">
        <v>2</v>
      </c>
      <c r="AR30" s="43">
        <v>20</v>
      </c>
      <c r="AS30" s="43">
        <v>10</v>
      </c>
      <c r="AT30" s="43">
        <v>30</v>
      </c>
      <c r="AU30" s="43">
        <v>24</v>
      </c>
      <c r="AV30" s="43">
        <v>3</v>
      </c>
    </row>
    <row r="31" spans="2:48" x14ac:dyDescent="0.25">
      <c r="AN31" s="14">
        <v>0.23076923076923078</v>
      </c>
      <c r="AO31" s="14">
        <v>0.2857142857142857</v>
      </c>
      <c r="AP31" s="14">
        <v>1</v>
      </c>
    </row>
    <row r="33" spans="33:48" x14ac:dyDescent="0.25">
      <c r="AG33" s="1" t="s">
        <v>58</v>
      </c>
      <c r="AN33" s="42" t="s">
        <v>59</v>
      </c>
      <c r="AO33" s="42" t="s">
        <v>60</v>
      </c>
      <c r="AP33" s="42" t="s">
        <v>61</v>
      </c>
      <c r="AQ33" s="43">
        <v>5</v>
      </c>
      <c r="AR33" s="43">
        <v>31</v>
      </c>
      <c r="AS33" s="43">
        <v>8</v>
      </c>
      <c r="AT33" s="43">
        <v>39</v>
      </c>
      <c r="AU33" s="43">
        <v>22</v>
      </c>
      <c r="AV33" s="43">
        <v>6</v>
      </c>
    </row>
    <row r="34" spans="33:48" x14ac:dyDescent="0.25">
      <c r="AN34" s="14">
        <v>0.52631578947368418</v>
      </c>
      <c r="AO34" s="14">
        <v>0.40740740740740738</v>
      </c>
      <c r="AP34" s="14">
        <v>0.5</v>
      </c>
    </row>
    <row r="36" spans="33:48" x14ac:dyDescent="0.25">
      <c r="AG36" s="1" t="s">
        <v>53</v>
      </c>
      <c r="AN36" s="42" t="s">
        <v>49</v>
      </c>
      <c r="AO36" s="42" t="s">
        <v>50</v>
      </c>
      <c r="AP36" s="42" t="s">
        <v>51</v>
      </c>
      <c r="AQ36" s="43">
        <v>5</v>
      </c>
      <c r="AR36" s="43">
        <v>24</v>
      </c>
      <c r="AS36" s="43">
        <v>6</v>
      </c>
      <c r="AT36" s="43">
        <v>30</v>
      </c>
      <c r="AU36" s="43">
        <v>29</v>
      </c>
      <c r="AV36" s="43">
        <v>9</v>
      </c>
    </row>
    <row r="37" spans="33:48" x14ac:dyDescent="0.25">
      <c r="AN37" s="14">
        <v>0.53846153846153844</v>
      </c>
      <c r="AO37" s="14">
        <v>0.33333333333333331</v>
      </c>
      <c r="AP37" s="14">
        <v>0.33333333333333331</v>
      </c>
    </row>
    <row r="39" spans="33:48" x14ac:dyDescent="0.25">
      <c r="AG39" s="1" t="s">
        <v>46</v>
      </c>
      <c r="AN39" s="42" t="str">
        <f>"8/16"</f>
        <v>8/16</v>
      </c>
      <c r="AO39" s="42" t="str">
        <f>"11/38"</f>
        <v>11/38</v>
      </c>
      <c r="AP39" s="42" t="str">
        <f>"1/1"</f>
        <v>1/1</v>
      </c>
      <c r="AQ39" s="43">
        <v>3</v>
      </c>
      <c r="AR39" s="43">
        <v>16</v>
      </c>
      <c r="AS39" s="43">
        <v>7</v>
      </c>
      <c r="AT39" s="43">
        <v>23</v>
      </c>
      <c r="AU39" s="43">
        <v>37</v>
      </c>
      <c r="AV39" s="43">
        <v>18</v>
      </c>
    </row>
    <row r="40" spans="33:48" x14ac:dyDescent="0.25">
      <c r="AN40" s="14">
        <f>8/16</f>
        <v>0.5</v>
      </c>
      <c r="AO40" s="14">
        <f>11/38</f>
        <v>0.28947368421052633</v>
      </c>
      <c r="AP40" s="14">
        <f>1/1</f>
        <v>1</v>
      </c>
    </row>
  </sheetData>
  <mergeCells count="15">
    <mergeCell ref="AM5:AV5"/>
    <mergeCell ref="F19:K19"/>
    <mergeCell ref="O19:T19"/>
    <mergeCell ref="X19:AC19"/>
    <mergeCell ref="AG19:AL19"/>
    <mergeCell ref="AD5:AL5"/>
    <mergeCell ref="L20:N20"/>
    <mergeCell ref="O20:T20"/>
    <mergeCell ref="U20:W20"/>
    <mergeCell ref="X20:AC20"/>
    <mergeCell ref="K2:N2"/>
    <mergeCell ref="W2:X2"/>
    <mergeCell ref="C5:K5"/>
    <mergeCell ref="L5:T5"/>
    <mergeCell ref="U5:A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E43"/>
  <sheetViews>
    <sheetView workbookViewId="0">
      <selection activeCell="BA11" sqref="BA11"/>
    </sheetView>
  </sheetViews>
  <sheetFormatPr baseColWidth="10" defaultColWidth="9.140625" defaultRowHeight="15" x14ac:dyDescent="0.25"/>
  <cols>
    <col min="1" max="1" width="2" style="1" customWidth="1"/>
    <col min="2" max="2" width="11.42578125" style="1" customWidth="1"/>
    <col min="3" max="3" width="3.7109375" style="1" bestFit="1" customWidth="1"/>
    <col min="4" max="4" width="4.42578125" style="1" bestFit="1" customWidth="1"/>
    <col min="5" max="5" width="5" style="1" bestFit="1" customWidth="1"/>
    <col min="6" max="6" width="5.5703125" style="1" bestFit="1" customWidth="1"/>
    <col min="7" max="7" width="3.85546875" style="1" bestFit="1" customWidth="1"/>
    <col min="8" max="9" width="4" style="1" bestFit="1" customWidth="1"/>
    <col min="10" max="10" width="3.7109375" style="1" bestFit="1" customWidth="1"/>
    <col min="11" max="11" width="3.85546875" style="1" customWidth="1"/>
    <col min="12" max="12" width="3.7109375" style="1" bestFit="1" customWidth="1"/>
    <col min="13" max="13" width="4.5703125" style="1" customWidth="1"/>
    <col min="14" max="15" width="5" style="1" bestFit="1" customWidth="1"/>
    <col min="16" max="16" width="3.85546875" style="1" bestFit="1" customWidth="1"/>
    <col min="17" max="18" width="4" style="1" bestFit="1" customWidth="1"/>
    <col min="19" max="19" width="3.7109375" style="1" bestFit="1" customWidth="1"/>
    <col min="20" max="20" width="3.28515625" style="1" bestFit="1" customWidth="1"/>
    <col min="21" max="21" width="3.7109375" style="1" bestFit="1" customWidth="1"/>
    <col min="22" max="22" width="5.5703125" style="1" bestFit="1" customWidth="1"/>
    <col min="23" max="24" width="5" style="1" bestFit="1" customWidth="1"/>
    <col min="25" max="25" width="3.85546875" style="1" bestFit="1" customWidth="1"/>
    <col min="26" max="27" width="4" style="1" bestFit="1" customWidth="1"/>
    <col min="28" max="28" width="3.7109375" style="1" bestFit="1" customWidth="1"/>
    <col min="29" max="29" width="3.28515625" style="1" bestFit="1" customWidth="1"/>
    <col min="30" max="30" width="3.7109375" style="1" bestFit="1" customWidth="1"/>
    <col min="31" max="31" width="4.42578125" style="1" bestFit="1" customWidth="1"/>
    <col min="32" max="32" width="5" style="1" bestFit="1" customWidth="1"/>
    <col min="33" max="33" width="7.85546875" style="1" bestFit="1" customWidth="1"/>
    <col min="34" max="34" width="3.85546875" style="1" bestFit="1" customWidth="1"/>
    <col min="35" max="36" width="4" style="1" bestFit="1" customWidth="1"/>
    <col min="37" max="37" width="3.7109375" style="1" bestFit="1" customWidth="1"/>
    <col min="38" max="38" width="3.28515625" style="1" bestFit="1" customWidth="1"/>
    <col min="39" max="39" width="3.7109375" style="1" bestFit="1" customWidth="1"/>
    <col min="40" max="40" width="4.42578125" style="1" bestFit="1" customWidth="1"/>
    <col min="41" max="41" width="5" style="1" bestFit="1" customWidth="1"/>
    <col min="42" max="42" width="7.85546875" style="1" bestFit="1" customWidth="1"/>
    <col min="43" max="43" width="3.85546875" style="1" bestFit="1" customWidth="1"/>
    <col min="44" max="45" width="4" style="1" bestFit="1" customWidth="1"/>
    <col min="46" max="46" width="3.7109375" style="1" bestFit="1" customWidth="1"/>
    <col min="47" max="47" width="3.28515625" style="1" bestFit="1" customWidth="1"/>
    <col min="48" max="48" width="3.7109375" style="1" customWidth="1"/>
    <col min="49" max="49" width="6.42578125" style="1" customWidth="1"/>
    <col min="50" max="50" width="6" style="1" customWidth="1"/>
    <col min="51" max="51" width="6.42578125" style="1" customWidth="1"/>
    <col min="52" max="52" width="3.85546875" style="1" bestFit="1" customWidth="1"/>
    <col min="53" max="54" width="4" style="1" bestFit="1" customWidth="1"/>
    <col min="55" max="55" width="4" style="1" customWidth="1"/>
    <col min="56" max="56" width="3.7109375" style="1" bestFit="1" customWidth="1"/>
    <col min="57" max="57" width="3.28515625" style="1" bestFit="1" customWidth="1"/>
    <col min="58" max="16384" width="9.140625" style="1"/>
  </cols>
  <sheetData>
    <row r="1" spans="2:57" ht="15.75" thickBot="1" x14ac:dyDescent="0.3"/>
    <row r="2" spans="2:57" ht="15.75" thickBot="1" x14ac:dyDescent="0.3">
      <c r="B2" s="40" t="s">
        <v>34</v>
      </c>
      <c r="C2" s="1" t="s">
        <v>86</v>
      </c>
      <c r="I2" s="40" t="s">
        <v>38</v>
      </c>
      <c r="K2" s="52">
        <v>43128</v>
      </c>
      <c r="L2" s="52"/>
      <c r="M2" s="52"/>
      <c r="N2" s="52"/>
      <c r="Q2" s="45" t="s">
        <v>47</v>
      </c>
      <c r="W2" s="65" t="str">
        <f>"63/67"</f>
        <v>63/67</v>
      </c>
      <c r="X2" s="66"/>
      <c r="Y2" s="45" t="s">
        <v>91</v>
      </c>
    </row>
    <row r="3" spans="2:57" x14ac:dyDescent="0.25">
      <c r="B3" s="40" t="s">
        <v>36</v>
      </c>
      <c r="C3" s="1" t="s">
        <v>76</v>
      </c>
    </row>
    <row r="4" spans="2:57" ht="15.75" thickBot="1" x14ac:dyDescent="0.3"/>
    <row r="5" spans="2:57" ht="15.75" thickBot="1" x14ac:dyDescent="0.3">
      <c r="B5" s="2"/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3" t="s">
        <v>6</v>
      </c>
      <c r="M5" s="54"/>
      <c r="N5" s="54"/>
      <c r="O5" s="54"/>
      <c r="P5" s="54"/>
      <c r="Q5" s="54"/>
      <c r="R5" s="54"/>
      <c r="S5" s="54"/>
      <c r="T5" s="54"/>
      <c r="U5" s="53" t="s">
        <v>7</v>
      </c>
      <c r="V5" s="54"/>
      <c r="W5" s="54"/>
      <c r="X5" s="54"/>
      <c r="Y5" s="54"/>
      <c r="Z5" s="54"/>
      <c r="AA5" s="54"/>
      <c r="AB5" s="54"/>
      <c r="AC5" s="54"/>
      <c r="AD5" s="53" t="s">
        <v>8</v>
      </c>
      <c r="AE5" s="54"/>
      <c r="AF5" s="54"/>
      <c r="AG5" s="54"/>
      <c r="AH5" s="54"/>
      <c r="AI5" s="54"/>
      <c r="AJ5" s="54"/>
      <c r="AK5" s="54"/>
      <c r="AL5" s="54"/>
      <c r="AM5" s="53" t="s">
        <v>92</v>
      </c>
      <c r="AN5" s="54"/>
      <c r="AO5" s="54"/>
      <c r="AP5" s="54"/>
      <c r="AQ5" s="54"/>
      <c r="AR5" s="54"/>
      <c r="AS5" s="54"/>
      <c r="AT5" s="54"/>
      <c r="AU5" s="54"/>
      <c r="AV5" s="49" t="s">
        <v>9</v>
      </c>
      <c r="AW5" s="50"/>
      <c r="AX5" s="50"/>
      <c r="AY5" s="50"/>
      <c r="AZ5" s="50"/>
      <c r="BA5" s="50"/>
      <c r="BB5" s="50"/>
      <c r="BC5" s="50"/>
      <c r="BD5" s="50"/>
      <c r="BE5" s="51"/>
    </row>
    <row r="6" spans="2:57" ht="15.75" thickBot="1" x14ac:dyDescent="0.3">
      <c r="B6" s="3" t="s">
        <v>3</v>
      </c>
      <c r="C6" s="3" t="s">
        <v>5</v>
      </c>
      <c r="D6" s="4" t="s">
        <v>19</v>
      </c>
      <c r="E6" s="4" t="s">
        <v>1</v>
      </c>
      <c r="F6" s="4" t="s">
        <v>0</v>
      </c>
      <c r="G6" s="4" t="s">
        <v>20</v>
      </c>
      <c r="H6" s="4" t="s">
        <v>17</v>
      </c>
      <c r="I6" s="4" t="s">
        <v>18</v>
      </c>
      <c r="J6" s="4" t="s">
        <v>22</v>
      </c>
      <c r="K6" s="4" t="s">
        <v>21</v>
      </c>
      <c r="L6" s="3" t="s">
        <v>5</v>
      </c>
      <c r="M6" s="4" t="s">
        <v>19</v>
      </c>
      <c r="N6" s="4" t="s">
        <v>1</v>
      </c>
      <c r="O6" s="4" t="s">
        <v>0</v>
      </c>
      <c r="P6" s="4" t="s">
        <v>20</v>
      </c>
      <c r="Q6" s="4" t="s">
        <v>17</v>
      </c>
      <c r="R6" s="4" t="s">
        <v>18</v>
      </c>
      <c r="S6" s="4" t="s">
        <v>22</v>
      </c>
      <c r="T6" s="4" t="s">
        <v>21</v>
      </c>
      <c r="U6" s="3" t="s">
        <v>5</v>
      </c>
      <c r="V6" s="4" t="s">
        <v>19</v>
      </c>
      <c r="W6" s="4" t="s">
        <v>1</v>
      </c>
      <c r="X6" s="4" t="s">
        <v>0</v>
      </c>
      <c r="Y6" s="4" t="s">
        <v>20</v>
      </c>
      <c r="Z6" s="4" t="s">
        <v>17</v>
      </c>
      <c r="AA6" s="4" t="s">
        <v>18</v>
      </c>
      <c r="AB6" s="4" t="s">
        <v>22</v>
      </c>
      <c r="AC6" s="4" t="s">
        <v>21</v>
      </c>
      <c r="AD6" s="3" t="s">
        <v>5</v>
      </c>
      <c r="AE6" s="4" t="s">
        <v>19</v>
      </c>
      <c r="AF6" s="4" t="s">
        <v>1</v>
      </c>
      <c r="AG6" s="4" t="s">
        <v>0</v>
      </c>
      <c r="AH6" s="4" t="s">
        <v>20</v>
      </c>
      <c r="AI6" s="4" t="s">
        <v>17</v>
      </c>
      <c r="AJ6" s="4" t="s">
        <v>18</v>
      </c>
      <c r="AK6" s="4" t="s">
        <v>22</v>
      </c>
      <c r="AL6" s="4" t="s">
        <v>21</v>
      </c>
      <c r="AM6" s="3" t="s">
        <v>5</v>
      </c>
      <c r="AN6" s="4" t="s">
        <v>19</v>
      </c>
      <c r="AO6" s="4" t="s">
        <v>1</v>
      </c>
      <c r="AP6" s="4" t="s">
        <v>0</v>
      </c>
      <c r="AQ6" s="4" t="s">
        <v>20</v>
      </c>
      <c r="AR6" s="4" t="s">
        <v>17</v>
      </c>
      <c r="AS6" s="4" t="s">
        <v>18</v>
      </c>
      <c r="AT6" s="4" t="s">
        <v>22</v>
      </c>
      <c r="AU6" s="4" t="s">
        <v>21</v>
      </c>
      <c r="AV6" s="17" t="s">
        <v>5</v>
      </c>
      <c r="AW6" s="18" t="s">
        <v>19</v>
      </c>
      <c r="AX6" s="18" t="s">
        <v>1</v>
      </c>
      <c r="AY6" s="18" t="s">
        <v>0</v>
      </c>
      <c r="AZ6" s="35" t="s">
        <v>20</v>
      </c>
      <c r="BA6" s="23" t="s">
        <v>17</v>
      </c>
      <c r="BB6" s="18" t="s">
        <v>18</v>
      </c>
      <c r="BC6" s="46" t="s">
        <v>23</v>
      </c>
      <c r="BD6" s="18" t="s">
        <v>22</v>
      </c>
      <c r="BE6" s="36" t="s">
        <v>21</v>
      </c>
    </row>
    <row r="7" spans="2:57" x14ac:dyDescent="0.25">
      <c r="B7" s="5" t="s">
        <v>14</v>
      </c>
      <c r="C7" s="5"/>
      <c r="D7" s="7"/>
      <c r="E7" s="7" t="str">
        <f>"0/3"</f>
        <v>0/3</v>
      </c>
      <c r="F7" s="7"/>
      <c r="G7" s="6"/>
      <c r="H7" s="6">
        <v>2</v>
      </c>
      <c r="I7" s="6">
        <v>3</v>
      </c>
      <c r="J7" s="6"/>
      <c r="K7" s="6"/>
      <c r="L7" s="5">
        <v>2</v>
      </c>
      <c r="M7" s="7"/>
      <c r="N7" s="7" t="str">
        <f>"1/1"</f>
        <v>1/1</v>
      </c>
      <c r="O7" s="7"/>
      <c r="P7" s="6"/>
      <c r="Q7" s="6"/>
      <c r="R7" s="6">
        <v>1</v>
      </c>
      <c r="S7" s="6"/>
      <c r="T7" s="6">
        <v>1</v>
      </c>
      <c r="U7" s="5">
        <v>2</v>
      </c>
      <c r="V7" s="7"/>
      <c r="W7" s="7" t="str">
        <f>"1/2"</f>
        <v>1/2</v>
      </c>
      <c r="X7" s="7"/>
      <c r="Y7" s="6"/>
      <c r="Z7" s="6"/>
      <c r="AA7" s="6"/>
      <c r="AB7" s="6"/>
      <c r="AC7" s="6"/>
      <c r="AD7" s="5">
        <v>5</v>
      </c>
      <c r="AE7" s="7" t="str">
        <f>"1/2"</f>
        <v>1/2</v>
      </c>
      <c r="AF7" s="7" t="str">
        <f>"2/4"</f>
        <v>2/4</v>
      </c>
      <c r="AG7" s="7"/>
      <c r="AH7" s="6"/>
      <c r="AI7" s="6">
        <v>4</v>
      </c>
      <c r="AJ7" s="6">
        <v>5</v>
      </c>
      <c r="AK7" s="6">
        <v>1</v>
      </c>
      <c r="AL7" s="6"/>
      <c r="AM7" s="5"/>
      <c r="AN7" s="7"/>
      <c r="AO7" s="7" t="str">
        <f>"0/1"</f>
        <v>0/1</v>
      </c>
      <c r="AP7" s="7"/>
      <c r="AQ7" s="6"/>
      <c r="AR7" s="6">
        <v>3</v>
      </c>
      <c r="AS7" s="6"/>
      <c r="AT7" s="6"/>
      <c r="AU7" s="6"/>
      <c r="AV7" s="25">
        <f>C7+L7+U7+AD7+AM7</f>
        <v>9</v>
      </c>
      <c r="AW7" s="26" t="str">
        <f>"1/2"</f>
        <v>1/2</v>
      </c>
      <c r="AX7" s="26" t="str">
        <f>"4/11"</f>
        <v>4/11</v>
      </c>
      <c r="AY7" s="26"/>
      <c r="AZ7" s="32">
        <f>G7+P7+Y7+AH7+AQ7</f>
        <v>0</v>
      </c>
      <c r="BA7" s="28">
        <f>H7+Q7+Z7+AI7+AR7</f>
        <v>9</v>
      </c>
      <c r="BB7" s="27">
        <f>I7+R7+AA7+AJ7+AS7</f>
        <v>9</v>
      </c>
      <c r="BC7" s="29">
        <f>BA7+BB7</f>
        <v>18</v>
      </c>
      <c r="BD7" s="27">
        <f>J7+S7+AB7+AK7+AT7</f>
        <v>1</v>
      </c>
      <c r="BE7" s="37">
        <f>K7+T7+AC7+AL7+AU7</f>
        <v>1</v>
      </c>
    </row>
    <row r="8" spans="2:57" x14ac:dyDescent="0.25">
      <c r="B8" s="5" t="s">
        <v>12</v>
      </c>
      <c r="C8" s="5"/>
      <c r="D8" s="7"/>
      <c r="E8" s="7" t="str">
        <f>"0/3"</f>
        <v>0/3</v>
      </c>
      <c r="F8" s="7"/>
      <c r="G8" s="6"/>
      <c r="H8" s="6">
        <v>1</v>
      </c>
      <c r="I8" s="6">
        <v>3</v>
      </c>
      <c r="J8" s="6">
        <v>1</v>
      </c>
      <c r="K8" s="6">
        <v>2</v>
      </c>
      <c r="L8" s="5">
        <v>2</v>
      </c>
      <c r="M8" s="7"/>
      <c r="N8" s="7" t="str">
        <f>"1/3"</f>
        <v>1/3</v>
      </c>
      <c r="O8" s="7"/>
      <c r="P8" s="6"/>
      <c r="Q8" s="6">
        <v>2</v>
      </c>
      <c r="R8" s="6"/>
      <c r="S8" s="6"/>
      <c r="T8" s="6"/>
      <c r="U8" s="5">
        <v>8</v>
      </c>
      <c r="V8" s="7" t="str">
        <f>"4/4"</f>
        <v>4/4</v>
      </c>
      <c r="W8" s="7" t="str">
        <f>"2/3"</f>
        <v>2/3</v>
      </c>
      <c r="X8" s="7"/>
      <c r="Y8" s="6"/>
      <c r="Z8" s="6">
        <v>2</v>
      </c>
      <c r="AA8" s="6"/>
      <c r="AB8" s="6"/>
      <c r="AC8" s="6">
        <v>3</v>
      </c>
      <c r="AD8" s="5"/>
      <c r="AE8" s="7"/>
      <c r="AF8" s="7"/>
      <c r="AG8" s="7"/>
      <c r="AH8" s="6"/>
      <c r="AI8" s="6"/>
      <c r="AJ8" s="6"/>
      <c r="AK8" s="6"/>
      <c r="AL8" s="6"/>
      <c r="AM8" s="5"/>
      <c r="AN8" s="7"/>
      <c r="AO8" s="7"/>
      <c r="AP8" s="7"/>
      <c r="AQ8" s="6"/>
      <c r="AR8" s="6"/>
      <c r="AS8" s="6"/>
      <c r="AT8" s="6"/>
      <c r="AU8" s="6"/>
      <c r="AV8" s="15">
        <f t="shared" ref="AV8:AV17" si="0">C8+L8+U8+AD8+AM8</f>
        <v>10</v>
      </c>
      <c r="AW8" s="19" t="str">
        <f>"4/4"</f>
        <v>4/4</v>
      </c>
      <c r="AX8" s="19" t="str">
        <f>"3/9"</f>
        <v>3/9</v>
      </c>
      <c r="AY8" s="19"/>
      <c r="AZ8" s="33">
        <f t="shared" ref="AZ8:AZ17" si="1">G8+P8+Y8+AH8+AQ8</f>
        <v>0</v>
      </c>
      <c r="BA8" s="21">
        <f>H8+Q8+Z8+AI8+AR8</f>
        <v>5</v>
      </c>
      <c r="BB8" s="6">
        <f>I8+R8+AA8+AJ8+AS8</f>
        <v>3</v>
      </c>
      <c r="BC8" s="22">
        <f t="shared" ref="BC8:BC17" si="2">BA8+BB8</f>
        <v>8</v>
      </c>
      <c r="BD8" s="6">
        <f t="shared" ref="BD8:BD16" si="3">J8+S8+AB8+AK8+AT8</f>
        <v>1</v>
      </c>
      <c r="BE8" s="38">
        <f t="shared" ref="BE8:BE17" si="4">K8+T8+AC8+AL8+AU8</f>
        <v>5</v>
      </c>
    </row>
    <row r="9" spans="2:57" x14ac:dyDescent="0.25">
      <c r="B9" s="5" t="s">
        <v>41</v>
      </c>
      <c r="C9" s="5">
        <v>6</v>
      </c>
      <c r="D9" s="7" t="str">
        <f>"0/1"</f>
        <v>0/1</v>
      </c>
      <c r="E9" s="7" t="str">
        <f>"3/3"</f>
        <v>3/3</v>
      </c>
      <c r="F9" s="7"/>
      <c r="G9" s="6"/>
      <c r="H9" s="6"/>
      <c r="I9" s="6"/>
      <c r="J9" s="6">
        <v>1</v>
      </c>
      <c r="K9" s="6"/>
      <c r="L9" s="5">
        <v>2</v>
      </c>
      <c r="M9" s="7" t="str">
        <f>"0/2"</f>
        <v>0/2</v>
      </c>
      <c r="N9" s="7" t="str">
        <f>"1/2"</f>
        <v>1/2</v>
      </c>
      <c r="O9" s="7"/>
      <c r="P9" s="6">
        <v>1</v>
      </c>
      <c r="Q9" s="6"/>
      <c r="R9" s="6"/>
      <c r="S9" s="6">
        <v>1</v>
      </c>
      <c r="T9" s="6">
        <v>1</v>
      </c>
      <c r="U9" s="5">
        <v>8</v>
      </c>
      <c r="V9" s="7" t="str">
        <f>"0/1"</f>
        <v>0/1</v>
      </c>
      <c r="W9" s="7" t="str">
        <f>"4/7"</f>
        <v>4/7</v>
      </c>
      <c r="X9" s="7" t="str">
        <f>"0/2"</f>
        <v>0/2</v>
      </c>
      <c r="Y9" s="6">
        <v>2</v>
      </c>
      <c r="Z9" s="6"/>
      <c r="AA9" s="6"/>
      <c r="AB9" s="6">
        <v>1</v>
      </c>
      <c r="AC9" s="6"/>
      <c r="AD9" s="5">
        <v>5</v>
      </c>
      <c r="AE9" s="7" t="str">
        <f>"1/2"</f>
        <v>1/2</v>
      </c>
      <c r="AF9" s="7" t="str">
        <f>"2/5"</f>
        <v>2/5</v>
      </c>
      <c r="AG9" s="7"/>
      <c r="AH9" s="6">
        <v>2</v>
      </c>
      <c r="AI9" s="6">
        <v>1</v>
      </c>
      <c r="AJ9" s="6">
        <v>2</v>
      </c>
      <c r="AK9" s="6"/>
      <c r="AL9" s="6"/>
      <c r="AM9" s="5">
        <v>3</v>
      </c>
      <c r="AN9" s="7"/>
      <c r="AO9" s="7"/>
      <c r="AP9" s="7" t="str">
        <f>"1/2"</f>
        <v>1/2</v>
      </c>
      <c r="AQ9" s="6"/>
      <c r="AR9" s="6"/>
      <c r="AS9" s="6"/>
      <c r="AT9" s="6">
        <v>1</v>
      </c>
      <c r="AU9" s="6"/>
      <c r="AV9" s="15">
        <f t="shared" si="0"/>
        <v>24</v>
      </c>
      <c r="AW9" s="19" t="str">
        <f>"1/6"</f>
        <v>1/6</v>
      </c>
      <c r="AX9" s="19" t="str">
        <f>"10/16"</f>
        <v>10/16</v>
      </c>
      <c r="AY9" s="19" t="str">
        <f>"1/4"</f>
        <v>1/4</v>
      </c>
      <c r="AZ9" s="33">
        <f t="shared" si="1"/>
        <v>5</v>
      </c>
      <c r="BA9" s="21">
        <f>H9+Q9+Z9+AI9+AR9</f>
        <v>1</v>
      </c>
      <c r="BB9" s="6">
        <f>I9+R9+AA9+AJ9+AS9</f>
        <v>2</v>
      </c>
      <c r="BC9" s="22">
        <f t="shared" si="2"/>
        <v>3</v>
      </c>
      <c r="BD9" s="6">
        <f t="shared" si="3"/>
        <v>4</v>
      </c>
      <c r="BE9" s="38">
        <f t="shared" si="4"/>
        <v>1</v>
      </c>
    </row>
    <row r="10" spans="2:57" x14ac:dyDescent="0.25">
      <c r="B10" s="5" t="s">
        <v>10</v>
      </c>
      <c r="C10" s="5">
        <v>2</v>
      </c>
      <c r="D10" s="7"/>
      <c r="E10" s="7" t="str">
        <f>"1/1"</f>
        <v>1/1</v>
      </c>
      <c r="F10" s="7"/>
      <c r="G10" s="6"/>
      <c r="H10" s="6"/>
      <c r="I10" s="6"/>
      <c r="J10" s="6"/>
      <c r="K10" s="6"/>
      <c r="L10" s="5"/>
      <c r="M10" s="7"/>
      <c r="N10" s="7" t="str">
        <f>"0/1"</f>
        <v>0/1</v>
      </c>
      <c r="O10" s="7"/>
      <c r="P10" s="6"/>
      <c r="Q10" s="6">
        <v>1</v>
      </c>
      <c r="R10" s="6"/>
      <c r="S10" s="6"/>
      <c r="T10" s="6"/>
      <c r="U10" s="5"/>
      <c r="V10" s="7"/>
      <c r="W10" s="7"/>
      <c r="X10" s="7"/>
      <c r="Y10" s="6"/>
      <c r="Z10" s="6"/>
      <c r="AA10" s="6"/>
      <c r="AB10" s="6"/>
      <c r="AC10" s="6"/>
      <c r="AD10" s="5">
        <v>2</v>
      </c>
      <c r="AE10" s="7"/>
      <c r="AF10" s="7" t="str">
        <f>"1/3"</f>
        <v>1/3</v>
      </c>
      <c r="AG10" s="7"/>
      <c r="AH10" s="6"/>
      <c r="AI10" s="6"/>
      <c r="AJ10" s="6"/>
      <c r="AK10" s="6"/>
      <c r="AL10" s="6"/>
      <c r="AM10" s="5">
        <v>4</v>
      </c>
      <c r="AN10" s="7"/>
      <c r="AO10" s="7" t="str">
        <f>"2/3"</f>
        <v>2/3</v>
      </c>
      <c r="AP10" s="7"/>
      <c r="AQ10" s="6"/>
      <c r="AR10" s="6"/>
      <c r="AS10" s="6"/>
      <c r="AT10" s="6">
        <v>1</v>
      </c>
      <c r="AU10" s="6"/>
      <c r="AV10" s="15">
        <f t="shared" si="0"/>
        <v>8</v>
      </c>
      <c r="AW10" s="19"/>
      <c r="AX10" s="19" t="str">
        <f>"4/8"</f>
        <v>4/8</v>
      </c>
      <c r="AY10" s="19"/>
      <c r="AZ10" s="33">
        <f t="shared" si="1"/>
        <v>0</v>
      </c>
      <c r="BA10" s="21">
        <f t="shared" ref="BA10:BA17" si="5">H10+Q10+Z10+AI10+AR10</f>
        <v>1</v>
      </c>
      <c r="BB10" s="6">
        <f t="shared" ref="BB10:BB17" si="6">I10+R10+AA10+AJ10+AS10</f>
        <v>0</v>
      </c>
      <c r="BC10" s="22">
        <f t="shared" si="2"/>
        <v>1</v>
      </c>
      <c r="BD10" s="6">
        <f t="shared" si="3"/>
        <v>1</v>
      </c>
      <c r="BE10" s="38">
        <f t="shared" si="4"/>
        <v>0</v>
      </c>
    </row>
    <row r="11" spans="2:57" x14ac:dyDescent="0.25">
      <c r="B11" s="5" t="s">
        <v>15</v>
      </c>
      <c r="C11" s="5"/>
      <c r="D11" s="7"/>
      <c r="E11" s="7" t="str">
        <f>"0/1"</f>
        <v>0/1</v>
      </c>
      <c r="F11" s="7" t="str">
        <f>"0/1"</f>
        <v>0/1</v>
      </c>
      <c r="G11" s="6"/>
      <c r="H11" s="6"/>
      <c r="I11" s="6">
        <v>1</v>
      </c>
      <c r="J11" s="6">
        <v>2</v>
      </c>
      <c r="K11" s="6">
        <v>1</v>
      </c>
      <c r="L11" s="5">
        <v>2</v>
      </c>
      <c r="M11" s="7"/>
      <c r="N11" s="7" t="str">
        <f>"1/1"</f>
        <v>1/1</v>
      </c>
      <c r="O11" s="7"/>
      <c r="P11" s="6"/>
      <c r="Q11" s="6">
        <v>2</v>
      </c>
      <c r="R11" s="6"/>
      <c r="S11" s="6">
        <v>3</v>
      </c>
      <c r="T11" s="6"/>
      <c r="U11" s="5">
        <v>2</v>
      </c>
      <c r="V11" s="7"/>
      <c r="W11" s="7" t="str">
        <f>"1/1"</f>
        <v>1/1</v>
      </c>
      <c r="X11" s="7"/>
      <c r="Y11" s="6">
        <v>1</v>
      </c>
      <c r="Z11" s="6">
        <v>1</v>
      </c>
      <c r="AA11" s="6"/>
      <c r="AB11" s="6"/>
      <c r="AC11" s="6"/>
      <c r="AD11" s="5">
        <v>4</v>
      </c>
      <c r="AE11" s="7" t="str">
        <f>"0/1"</f>
        <v>0/1</v>
      </c>
      <c r="AF11" s="7" t="str">
        <f>"2/3"</f>
        <v>2/3</v>
      </c>
      <c r="AG11" s="7" t="str">
        <f>"0/1"</f>
        <v>0/1</v>
      </c>
      <c r="AH11" s="6"/>
      <c r="AI11" s="6">
        <v>3</v>
      </c>
      <c r="AJ11" s="6"/>
      <c r="AK11" s="6">
        <v>3</v>
      </c>
      <c r="AL11" s="6"/>
      <c r="AM11" s="5">
        <v>1</v>
      </c>
      <c r="AN11" s="7" t="str">
        <f>"1/2"</f>
        <v>1/2</v>
      </c>
      <c r="AO11" s="7" t="str">
        <f>"0/1"</f>
        <v>0/1</v>
      </c>
      <c r="AP11" s="7"/>
      <c r="AQ11" s="6"/>
      <c r="AR11" s="6">
        <v>1</v>
      </c>
      <c r="AS11" s="6"/>
      <c r="AT11" s="6"/>
      <c r="AU11" s="6"/>
      <c r="AV11" s="15">
        <f t="shared" si="0"/>
        <v>9</v>
      </c>
      <c r="AW11" s="19" t="str">
        <f>"1/3"</f>
        <v>1/3</v>
      </c>
      <c r="AX11" s="19" t="str">
        <f>"4/7"</f>
        <v>4/7</v>
      </c>
      <c r="AY11" s="19" t="str">
        <f>"0/2"</f>
        <v>0/2</v>
      </c>
      <c r="AZ11" s="33">
        <f t="shared" si="1"/>
        <v>1</v>
      </c>
      <c r="BA11" s="21">
        <f t="shared" si="5"/>
        <v>7</v>
      </c>
      <c r="BB11" s="6">
        <f t="shared" si="6"/>
        <v>1</v>
      </c>
      <c r="BC11" s="22">
        <f t="shared" si="2"/>
        <v>8</v>
      </c>
      <c r="BD11" s="6">
        <f t="shared" si="3"/>
        <v>8</v>
      </c>
      <c r="BE11" s="38">
        <f t="shared" si="4"/>
        <v>1</v>
      </c>
    </row>
    <row r="12" spans="2:57" x14ac:dyDescent="0.25">
      <c r="B12" s="5" t="s">
        <v>11</v>
      </c>
      <c r="C12" s="5"/>
      <c r="D12" s="7"/>
      <c r="E12" s="7"/>
      <c r="F12" s="7"/>
      <c r="G12" s="6">
        <v>2</v>
      </c>
      <c r="H12" s="6"/>
      <c r="I12" s="6"/>
      <c r="J12" s="6">
        <v>1</v>
      </c>
      <c r="K12" s="6">
        <v>2</v>
      </c>
      <c r="L12" s="5"/>
      <c r="M12" s="7"/>
      <c r="N12" s="7" t="str">
        <f>"0/1"</f>
        <v>0/1</v>
      </c>
      <c r="O12" s="7" t="str">
        <f>"0/1"</f>
        <v>0/1</v>
      </c>
      <c r="P12" s="6"/>
      <c r="Q12" s="6"/>
      <c r="R12" s="6"/>
      <c r="S12" s="6">
        <v>1</v>
      </c>
      <c r="T12" s="6"/>
      <c r="U12" s="5"/>
      <c r="V12" s="7"/>
      <c r="W12" s="7"/>
      <c r="X12" s="7"/>
      <c r="Y12" s="6"/>
      <c r="Z12" s="6"/>
      <c r="AA12" s="6"/>
      <c r="AB12" s="6"/>
      <c r="AC12" s="6">
        <v>1</v>
      </c>
      <c r="AD12" s="5"/>
      <c r="AE12" s="7"/>
      <c r="AF12" s="7"/>
      <c r="AG12" s="7" t="str">
        <f>"0/2"</f>
        <v>0/2</v>
      </c>
      <c r="AH12" s="6"/>
      <c r="AI12" s="6">
        <v>1</v>
      </c>
      <c r="AJ12" s="6"/>
      <c r="AK12" s="6"/>
      <c r="AL12" s="6"/>
      <c r="AM12" s="5"/>
      <c r="AN12" s="7"/>
      <c r="AO12" s="7"/>
      <c r="AP12" s="7"/>
      <c r="AQ12" s="6"/>
      <c r="AR12" s="6"/>
      <c r="AS12" s="6"/>
      <c r="AT12" s="6"/>
      <c r="AU12" s="6"/>
      <c r="AV12" s="15">
        <f t="shared" si="0"/>
        <v>0</v>
      </c>
      <c r="AW12" s="19"/>
      <c r="AX12" s="19" t="str">
        <f>"0/1"</f>
        <v>0/1</v>
      </c>
      <c r="AY12" s="19" t="str">
        <f>"0/3"</f>
        <v>0/3</v>
      </c>
      <c r="AZ12" s="33">
        <f t="shared" si="1"/>
        <v>2</v>
      </c>
      <c r="BA12" s="21">
        <f t="shared" si="5"/>
        <v>1</v>
      </c>
      <c r="BB12" s="6">
        <f t="shared" si="6"/>
        <v>0</v>
      </c>
      <c r="BC12" s="22">
        <f t="shared" si="2"/>
        <v>1</v>
      </c>
      <c r="BD12" s="6">
        <f t="shared" si="3"/>
        <v>2</v>
      </c>
      <c r="BE12" s="38">
        <f t="shared" si="4"/>
        <v>3</v>
      </c>
    </row>
    <row r="13" spans="2:57" x14ac:dyDescent="0.25">
      <c r="B13" s="5" t="s">
        <v>13</v>
      </c>
      <c r="C13" s="5"/>
      <c r="D13" s="7"/>
      <c r="E13" s="7"/>
      <c r="F13" s="7"/>
      <c r="G13" s="6"/>
      <c r="H13" s="6"/>
      <c r="I13" s="6"/>
      <c r="J13" s="6">
        <v>3</v>
      </c>
      <c r="K13" s="6"/>
      <c r="L13" s="5">
        <v>2</v>
      </c>
      <c r="M13" s="7"/>
      <c r="N13" s="7" t="str">
        <f>"1/1"</f>
        <v>1/1</v>
      </c>
      <c r="O13" s="7"/>
      <c r="P13" s="6"/>
      <c r="Q13" s="6">
        <v>3</v>
      </c>
      <c r="R13" s="6"/>
      <c r="S13" s="6"/>
      <c r="T13" s="6"/>
      <c r="U13" s="5"/>
      <c r="V13" s="7"/>
      <c r="W13" s="7" t="str">
        <f>"0/1"</f>
        <v>0/1</v>
      </c>
      <c r="X13" s="7"/>
      <c r="Y13" s="6"/>
      <c r="Z13" s="6">
        <v>1</v>
      </c>
      <c r="AA13" s="6"/>
      <c r="AB13" s="6">
        <v>2</v>
      </c>
      <c r="AC13" s="6"/>
      <c r="AD13" s="5"/>
      <c r="AE13" s="7"/>
      <c r="AF13" s="7"/>
      <c r="AG13" s="7"/>
      <c r="AH13" s="6"/>
      <c r="AI13" s="6">
        <v>1</v>
      </c>
      <c r="AJ13" s="6"/>
      <c r="AK13" s="6"/>
      <c r="AL13" s="6"/>
      <c r="AM13" s="5"/>
      <c r="AN13" s="7"/>
      <c r="AO13" s="7"/>
      <c r="AP13" s="7"/>
      <c r="AQ13" s="6"/>
      <c r="AR13" s="6"/>
      <c r="AS13" s="6"/>
      <c r="AT13" s="6"/>
      <c r="AU13" s="6"/>
      <c r="AV13" s="15">
        <f t="shared" si="0"/>
        <v>2</v>
      </c>
      <c r="AW13" s="19"/>
      <c r="AX13" s="19" t="str">
        <f>"1/2"</f>
        <v>1/2</v>
      </c>
      <c r="AY13" s="19"/>
      <c r="AZ13" s="33">
        <f t="shared" si="1"/>
        <v>0</v>
      </c>
      <c r="BA13" s="21">
        <f t="shared" si="5"/>
        <v>5</v>
      </c>
      <c r="BB13" s="6">
        <f t="shared" si="6"/>
        <v>0</v>
      </c>
      <c r="BC13" s="22">
        <f t="shared" si="2"/>
        <v>5</v>
      </c>
      <c r="BD13" s="6">
        <f t="shared" si="3"/>
        <v>5</v>
      </c>
      <c r="BE13" s="38">
        <f t="shared" si="4"/>
        <v>0</v>
      </c>
    </row>
    <row r="14" spans="2:57" x14ac:dyDescent="0.25">
      <c r="B14" s="5" t="s">
        <v>57</v>
      </c>
      <c r="C14" s="5"/>
      <c r="D14" s="7"/>
      <c r="E14" s="7"/>
      <c r="F14" s="7"/>
      <c r="G14" s="6"/>
      <c r="H14" s="6"/>
      <c r="I14" s="6"/>
      <c r="J14" s="6"/>
      <c r="K14" s="6"/>
      <c r="L14" s="5"/>
      <c r="M14" s="7"/>
      <c r="N14" s="7"/>
      <c r="O14" s="7"/>
      <c r="P14" s="6"/>
      <c r="Q14" s="6"/>
      <c r="R14" s="6"/>
      <c r="S14" s="6"/>
      <c r="T14" s="6"/>
      <c r="U14" s="5"/>
      <c r="V14" s="7"/>
      <c r="W14" s="7"/>
      <c r="X14" s="7"/>
      <c r="Y14" s="6"/>
      <c r="Z14" s="6"/>
      <c r="AA14" s="6"/>
      <c r="AB14" s="6"/>
      <c r="AC14" s="6"/>
      <c r="AD14" s="5"/>
      <c r="AE14" s="7"/>
      <c r="AF14" s="7"/>
      <c r="AG14" s="7"/>
      <c r="AH14" s="6"/>
      <c r="AI14" s="6"/>
      <c r="AJ14" s="6"/>
      <c r="AK14" s="6"/>
      <c r="AL14" s="6"/>
      <c r="AM14" s="5"/>
      <c r="AN14" s="7"/>
      <c r="AO14" s="7"/>
      <c r="AP14" s="7"/>
      <c r="AQ14" s="6"/>
      <c r="AR14" s="6"/>
      <c r="AS14" s="6"/>
      <c r="AT14" s="6"/>
      <c r="AU14" s="6"/>
      <c r="AV14" s="15">
        <f t="shared" si="0"/>
        <v>0</v>
      </c>
      <c r="AW14" s="19"/>
      <c r="AX14" s="19"/>
      <c r="AY14" s="19"/>
      <c r="AZ14" s="33">
        <f t="shared" si="1"/>
        <v>0</v>
      </c>
      <c r="BA14" s="21">
        <f t="shared" si="5"/>
        <v>0</v>
      </c>
      <c r="BB14" s="6">
        <f t="shared" si="6"/>
        <v>0</v>
      </c>
      <c r="BC14" s="22">
        <f t="shared" si="2"/>
        <v>0</v>
      </c>
      <c r="BD14" s="6">
        <f t="shared" si="3"/>
        <v>0</v>
      </c>
      <c r="BE14" s="38">
        <f t="shared" si="4"/>
        <v>0</v>
      </c>
    </row>
    <row r="15" spans="2:57" x14ac:dyDescent="0.25">
      <c r="B15" s="5" t="s">
        <v>16</v>
      </c>
      <c r="C15" s="5">
        <v>1</v>
      </c>
      <c r="D15" s="7" t="str">
        <f>"1/2"</f>
        <v>1/2</v>
      </c>
      <c r="E15" s="7"/>
      <c r="F15" s="7"/>
      <c r="G15" s="6"/>
      <c r="H15" s="6"/>
      <c r="I15" s="6"/>
      <c r="J15" s="6">
        <v>2</v>
      </c>
      <c r="K15" s="6"/>
      <c r="L15" s="5"/>
      <c r="M15" s="7" t="str">
        <f>"0/2"</f>
        <v>0/2</v>
      </c>
      <c r="N15" s="7"/>
      <c r="O15" s="7"/>
      <c r="P15" s="6"/>
      <c r="Q15" s="6">
        <v>2</v>
      </c>
      <c r="R15" s="6"/>
      <c r="S15" s="6">
        <v>1</v>
      </c>
      <c r="T15" s="6"/>
      <c r="U15" s="5"/>
      <c r="V15" s="7"/>
      <c r="W15" s="7"/>
      <c r="X15" s="7"/>
      <c r="Y15" s="6"/>
      <c r="Z15" s="6"/>
      <c r="AA15" s="6"/>
      <c r="AB15" s="6"/>
      <c r="AC15" s="6"/>
      <c r="AD15" s="5"/>
      <c r="AE15" s="7"/>
      <c r="AF15" s="7"/>
      <c r="AG15" s="7"/>
      <c r="AH15" s="6"/>
      <c r="AI15" s="6"/>
      <c r="AJ15" s="6">
        <v>1</v>
      </c>
      <c r="AK15" s="6"/>
      <c r="AL15" s="6"/>
      <c r="AM15" s="5"/>
      <c r="AN15" s="7"/>
      <c r="AO15" s="7"/>
      <c r="AP15" s="7"/>
      <c r="AQ15" s="6"/>
      <c r="AR15" s="6"/>
      <c r="AS15" s="6"/>
      <c r="AT15" s="6"/>
      <c r="AU15" s="6"/>
      <c r="AV15" s="15">
        <f t="shared" si="0"/>
        <v>1</v>
      </c>
      <c r="AW15" s="19" t="str">
        <f>"1/4"</f>
        <v>1/4</v>
      </c>
      <c r="AX15" s="19"/>
      <c r="AY15" s="19"/>
      <c r="AZ15" s="33">
        <f t="shared" si="1"/>
        <v>0</v>
      </c>
      <c r="BA15" s="21">
        <f t="shared" si="5"/>
        <v>2</v>
      </c>
      <c r="BB15" s="6">
        <f t="shared" si="6"/>
        <v>1</v>
      </c>
      <c r="BC15" s="22">
        <f t="shared" si="2"/>
        <v>3</v>
      </c>
      <c r="BD15" s="6">
        <f t="shared" si="3"/>
        <v>3</v>
      </c>
      <c r="BE15" s="38">
        <f t="shared" si="4"/>
        <v>0</v>
      </c>
    </row>
    <row r="16" spans="2:57" x14ac:dyDescent="0.25">
      <c r="B16" s="5"/>
      <c r="C16" s="5"/>
      <c r="D16" s="7"/>
      <c r="E16" s="7"/>
      <c r="F16" s="7"/>
      <c r="G16" s="6"/>
      <c r="H16" s="6"/>
      <c r="I16" s="6"/>
      <c r="J16" s="6"/>
      <c r="K16" s="6"/>
      <c r="L16" s="5"/>
      <c r="M16" s="7"/>
      <c r="N16" s="7"/>
      <c r="O16" s="7"/>
      <c r="P16" s="6"/>
      <c r="Q16" s="6"/>
      <c r="R16" s="6"/>
      <c r="S16" s="6"/>
      <c r="T16" s="6"/>
      <c r="U16" s="5"/>
      <c r="V16" s="7"/>
      <c r="W16" s="7"/>
      <c r="X16" s="7"/>
      <c r="Y16" s="6"/>
      <c r="Z16" s="6"/>
      <c r="AA16" s="6"/>
      <c r="AB16" s="6"/>
      <c r="AC16" s="6"/>
      <c r="AD16" s="5"/>
      <c r="AE16" s="7"/>
      <c r="AF16" s="7"/>
      <c r="AG16" s="7"/>
      <c r="AH16" s="6"/>
      <c r="AI16" s="6"/>
      <c r="AJ16" s="6"/>
      <c r="AK16" s="6"/>
      <c r="AL16" s="6"/>
      <c r="AM16" s="5"/>
      <c r="AN16" s="7"/>
      <c r="AO16" s="7"/>
      <c r="AP16" s="7"/>
      <c r="AQ16" s="6"/>
      <c r="AR16" s="6"/>
      <c r="AS16" s="6"/>
      <c r="AT16" s="6"/>
      <c r="AU16" s="6"/>
      <c r="AV16" s="15">
        <f t="shared" si="0"/>
        <v>0</v>
      </c>
      <c r="AW16" s="19"/>
      <c r="AX16" s="19"/>
      <c r="AY16" s="19"/>
      <c r="AZ16" s="33">
        <f t="shared" si="1"/>
        <v>0</v>
      </c>
      <c r="BA16" s="21">
        <f t="shared" si="5"/>
        <v>0</v>
      </c>
      <c r="BB16" s="6">
        <f t="shared" si="6"/>
        <v>0</v>
      </c>
      <c r="BC16" s="22">
        <f t="shared" si="2"/>
        <v>0</v>
      </c>
      <c r="BD16" s="6">
        <f t="shared" si="3"/>
        <v>0</v>
      </c>
      <c r="BE16" s="38">
        <f t="shared" si="4"/>
        <v>0</v>
      </c>
    </row>
    <row r="17" spans="2:57" ht="15.75" thickBot="1" x14ac:dyDescent="0.3">
      <c r="B17" s="3"/>
      <c r="C17" s="3"/>
      <c r="D17" s="8"/>
      <c r="E17" s="8"/>
      <c r="F17" s="8"/>
      <c r="G17" s="4"/>
      <c r="H17" s="4"/>
      <c r="I17" s="4"/>
      <c r="J17" s="4"/>
      <c r="K17" s="4"/>
      <c r="L17" s="3"/>
      <c r="M17" s="8"/>
      <c r="N17" s="8"/>
      <c r="O17" s="8"/>
      <c r="P17" s="4"/>
      <c r="Q17" s="4"/>
      <c r="R17" s="4"/>
      <c r="S17" s="4"/>
      <c r="T17" s="4"/>
      <c r="U17" s="3"/>
      <c r="V17" s="8"/>
      <c r="W17" s="8"/>
      <c r="X17" s="8"/>
      <c r="Y17" s="4"/>
      <c r="Z17" s="4"/>
      <c r="AA17" s="4"/>
      <c r="AB17" s="4"/>
      <c r="AC17" s="4"/>
      <c r="AD17" s="3"/>
      <c r="AE17" s="8"/>
      <c r="AF17" s="8"/>
      <c r="AG17" s="8"/>
      <c r="AH17" s="4"/>
      <c r="AI17" s="4"/>
      <c r="AJ17" s="4"/>
      <c r="AK17" s="4"/>
      <c r="AL17" s="4"/>
      <c r="AM17" s="3"/>
      <c r="AN17" s="8"/>
      <c r="AO17" s="8"/>
      <c r="AP17" s="8"/>
      <c r="AQ17" s="4"/>
      <c r="AR17" s="4"/>
      <c r="AS17" s="4"/>
      <c r="AT17" s="4"/>
      <c r="AU17" s="4"/>
      <c r="AV17" s="16">
        <f t="shared" si="0"/>
        <v>0</v>
      </c>
      <c r="AW17" s="20"/>
      <c r="AX17" s="20"/>
      <c r="AY17" s="20"/>
      <c r="AZ17" s="34">
        <f t="shared" si="1"/>
        <v>0</v>
      </c>
      <c r="BA17" s="30">
        <f t="shared" si="5"/>
        <v>0</v>
      </c>
      <c r="BB17" s="4">
        <f t="shared" si="6"/>
        <v>0</v>
      </c>
      <c r="BC17" s="31">
        <f t="shared" si="2"/>
        <v>0</v>
      </c>
      <c r="BD17" s="4">
        <f>J17+S17+AB17+AK17+AT17</f>
        <v>0</v>
      </c>
      <c r="BE17" s="39">
        <f t="shared" si="4"/>
        <v>0</v>
      </c>
    </row>
    <row r="18" spans="2:57" s="9" customFormat="1" thickBot="1" x14ac:dyDescent="0.25">
      <c r="C18" s="11">
        <f>SUM(C7:C17)</f>
        <v>9</v>
      </c>
      <c r="D18" s="10" t="str">
        <f>"1/3"</f>
        <v>1/3</v>
      </c>
      <c r="E18" s="10" t="str">
        <f>"4/11"</f>
        <v>4/11</v>
      </c>
      <c r="F18" s="10" t="str">
        <f>"0/1"</f>
        <v>0/1</v>
      </c>
      <c r="G18" s="9">
        <f>SUM(G7:G17)</f>
        <v>2</v>
      </c>
      <c r="H18" s="9">
        <f t="shared" ref="H18:K18" si="7">SUM(H7:H17)</f>
        <v>3</v>
      </c>
      <c r="I18" s="9">
        <f t="shared" si="7"/>
        <v>7</v>
      </c>
      <c r="J18" s="9">
        <f t="shared" si="7"/>
        <v>10</v>
      </c>
      <c r="K18" s="9">
        <f t="shared" si="7"/>
        <v>5</v>
      </c>
      <c r="L18" s="11">
        <f>SUM(L7:L17)</f>
        <v>10</v>
      </c>
      <c r="M18" s="10" t="str">
        <f>"0/4"</f>
        <v>0/4</v>
      </c>
      <c r="N18" s="10" t="str">
        <f>"5/10"</f>
        <v>5/10</v>
      </c>
      <c r="O18" s="47" t="str">
        <f>"0/1"</f>
        <v>0/1</v>
      </c>
      <c r="P18" s="9">
        <f>SUM(P7:P17)</f>
        <v>1</v>
      </c>
      <c r="Q18" s="9">
        <f t="shared" ref="Q18:T18" si="8">SUM(Q7:Q17)</f>
        <v>10</v>
      </c>
      <c r="R18" s="9">
        <f t="shared" si="8"/>
        <v>1</v>
      </c>
      <c r="S18" s="9">
        <f t="shared" si="8"/>
        <v>6</v>
      </c>
      <c r="T18" s="9">
        <f t="shared" si="8"/>
        <v>2</v>
      </c>
      <c r="U18" s="11">
        <f>SUM(U7:U17)</f>
        <v>20</v>
      </c>
      <c r="V18" s="10" t="str">
        <f>"4/5"</f>
        <v>4/5</v>
      </c>
      <c r="W18" s="10" t="str">
        <f>"8/14"</f>
        <v>8/14</v>
      </c>
      <c r="X18" s="10" t="str">
        <f>"0/2"</f>
        <v>0/2</v>
      </c>
      <c r="Y18" s="9">
        <f>SUM(Y7:Y17)</f>
        <v>3</v>
      </c>
      <c r="Z18" s="9">
        <f t="shared" ref="Z18:AC18" si="9">SUM(Z7:Z17)</f>
        <v>4</v>
      </c>
      <c r="AA18" s="9">
        <f t="shared" si="9"/>
        <v>0</v>
      </c>
      <c r="AB18" s="9">
        <f t="shared" si="9"/>
        <v>3</v>
      </c>
      <c r="AC18" s="9">
        <f t="shared" si="9"/>
        <v>4</v>
      </c>
      <c r="AD18" s="11">
        <f>SUM(AD7:AD17)</f>
        <v>16</v>
      </c>
      <c r="AE18" s="10" t="str">
        <f>"2/5"</f>
        <v>2/5</v>
      </c>
      <c r="AF18" s="10" t="str">
        <f>"7/15"</f>
        <v>7/15</v>
      </c>
      <c r="AG18" s="10" t="str">
        <f>"0/3"</f>
        <v>0/3</v>
      </c>
      <c r="AH18" s="9">
        <f>SUM(AH7:AH17)</f>
        <v>2</v>
      </c>
      <c r="AI18" s="9">
        <f t="shared" ref="AI18:AL18" si="10">SUM(AI7:AI17)</f>
        <v>10</v>
      </c>
      <c r="AJ18" s="9">
        <f t="shared" si="10"/>
        <v>8</v>
      </c>
      <c r="AK18" s="9">
        <f t="shared" si="10"/>
        <v>4</v>
      </c>
      <c r="AL18" s="9">
        <f t="shared" si="10"/>
        <v>0</v>
      </c>
      <c r="AM18" s="11">
        <f>SUM(AM7:AM17)</f>
        <v>8</v>
      </c>
      <c r="AN18" s="10" t="str">
        <f>"1/2"</f>
        <v>1/2</v>
      </c>
      <c r="AO18" s="10" t="str">
        <f>"2/5"</f>
        <v>2/5</v>
      </c>
      <c r="AP18" s="10" t="str">
        <f>"1/2"</f>
        <v>1/2</v>
      </c>
      <c r="AQ18" s="9">
        <f>SUM(AQ7:AQ17)</f>
        <v>0</v>
      </c>
      <c r="AR18" s="9">
        <f t="shared" ref="AR18:AU18" si="11">SUM(AR7:AR17)</f>
        <v>4</v>
      </c>
      <c r="AS18" s="9">
        <f t="shared" si="11"/>
        <v>0</v>
      </c>
      <c r="AT18" s="9">
        <f t="shared" si="11"/>
        <v>2</v>
      </c>
      <c r="AU18" s="9">
        <f t="shared" si="11"/>
        <v>0</v>
      </c>
      <c r="AV18" s="12">
        <f>SUM(AV7:AV17)</f>
        <v>63</v>
      </c>
      <c r="AW18" s="13" t="str">
        <f>"8/19"</f>
        <v>8/19</v>
      </c>
      <c r="AX18" s="13" t="str">
        <f>"26/55"</f>
        <v>26/55</v>
      </c>
      <c r="AY18" s="13" t="str">
        <f>"1/9"</f>
        <v>1/9</v>
      </c>
      <c r="AZ18" s="11">
        <f t="shared" ref="AZ18:BE18" si="12">SUM(AZ7:AZ17)</f>
        <v>8</v>
      </c>
      <c r="BA18" s="11">
        <f t="shared" si="12"/>
        <v>31</v>
      </c>
      <c r="BB18" s="11">
        <f t="shared" si="12"/>
        <v>16</v>
      </c>
      <c r="BC18" s="11">
        <f t="shared" si="12"/>
        <v>47</v>
      </c>
      <c r="BD18" s="11">
        <f t="shared" si="12"/>
        <v>25</v>
      </c>
      <c r="BE18" s="11">
        <f t="shared" si="12"/>
        <v>11</v>
      </c>
    </row>
    <row r="19" spans="2:57" s="40" customFormat="1" thickBot="1" x14ac:dyDescent="0.25">
      <c r="B19" s="40" t="s">
        <v>54</v>
      </c>
      <c r="F19" s="67" t="str">
        <f>"9/16"</f>
        <v>9/16</v>
      </c>
      <c r="G19" s="68"/>
      <c r="H19" s="68"/>
      <c r="I19" s="68"/>
      <c r="J19" s="68"/>
      <c r="K19" s="69"/>
      <c r="O19" s="67" t="str">
        <f>"10/11"</f>
        <v>10/11</v>
      </c>
      <c r="P19" s="68"/>
      <c r="Q19" s="68"/>
      <c r="R19" s="68"/>
      <c r="S19" s="68"/>
      <c r="T19" s="69"/>
      <c r="X19" s="67" t="str">
        <f>"20/18"</f>
        <v>20/18</v>
      </c>
      <c r="Y19" s="68"/>
      <c r="Z19" s="68"/>
      <c r="AA19" s="68"/>
      <c r="AB19" s="68"/>
      <c r="AC19" s="69"/>
      <c r="AG19" s="67" t="str">
        <f>"16/10"</f>
        <v>16/10</v>
      </c>
      <c r="AH19" s="68"/>
      <c r="AI19" s="68"/>
      <c r="AJ19" s="68"/>
      <c r="AK19" s="68"/>
      <c r="AL19" s="69"/>
      <c r="AP19" s="67" t="str">
        <f>"8/12"</f>
        <v>8/12</v>
      </c>
      <c r="AQ19" s="68"/>
      <c r="AR19" s="68"/>
      <c r="AS19" s="68"/>
      <c r="AT19" s="68"/>
      <c r="AU19" s="69"/>
      <c r="AW19" s="14">
        <f>8/19</f>
        <v>0.42105263157894735</v>
      </c>
      <c r="AX19" s="14">
        <f>26/55</f>
        <v>0.47272727272727272</v>
      </c>
      <c r="AY19" s="14">
        <f>1/9</f>
        <v>0.1111111111111111</v>
      </c>
    </row>
    <row r="20" spans="2:57" ht="15.75" thickBot="1" x14ac:dyDescent="0.3">
      <c r="B20" s="41" t="s">
        <v>25</v>
      </c>
      <c r="L20" s="60" t="s">
        <v>55</v>
      </c>
      <c r="M20" s="60"/>
      <c r="N20" s="61"/>
      <c r="O20" s="57" t="str">
        <f>"19/27"</f>
        <v>19/27</v>
      </c>
      <c r="P20" s="58"/>
      <c r="Q20" s="58"/>
      <c r="R20" s="58"/>
      <c r="S20" s="58"/>
      <c r="T20" s="59"/>
      <c r="U20" s="62" t="s">
        <v>55</v>
      </c>
      <c r="V20" s="63"/>
      <c r="W20" s="64"/>
      <c r="X20" s="57" t="str">
        <f>"39/45"</f>
        <v>39/45</v>
      </c>
      <c r="Y20" s="58"/>
      <c r="Z20" s="58"/>
      <c r="AA20" s="58"/>
      <c r="AB20" s="58"/>
      <c r="AC20" s="59"/>
      <c r="AD20" s="62" t="s">
        <v>55</v>
      </c>
      <c r="AE20" s="63"/>
      <c r="AF20" s="64"/>
      <c r="AG20" s="57" t="str">
        <f>"55/55"</f>
        <v>55/55</v>
      </c>
      <c r="AH20" s="58"/>
      <c r="AI20" s="58"/>
      <c r="AJ20" s="58"/>
      <c r="AK20" s="58"/>
      <c r="AL20" s="59"/>
      <c r="AO20" s="44" t="s">
        <v>45</v>
      </c>
    </row>
    <row r="21" spans="2:57" x14ac:dyDescent="0.25">
      <c r="C21" s="1" t="s">
        <v>28</v>
      </c>
      <c r="D21" s="1" t="s">
        <v>26</v>
      </c>
      <c r="AP21" s="1" t="s">
        <v>87</v>
      </c>
      <c r="AW21" s="42" t="s">
        <v>88</v>
      </c>
      <c r="AX21" s="42" t="s">
        <v>89</v>
      </c>
      <c r="AY21" s="42" t="s">
        <v>90</v>
      </c>
      <c r="AZ21" s="43">
        <v>5</v>
      </c>
      <c r="BA21" s="43">
        <v>16</v>
      </c>
      <c r="BB21" s="43">
        <v>11</v>
      </c>
      <c r="BC21" s="43">
        <v>27</v>
      </c>
      <c r="BD21" s="43">
        <v>31</v>
      </c>
      <c r="BE21" s="43">
        <v>10</v>
      </c>
    </row>
    <row r="22" spans="2:57" x14ac:dyDescent="0.25">
      <c r="C22" s="1" t="s">
        <v>20</v>
      </c>
      <c r="D22" s="1" t="s">
        <v>27</v>
      </c>
      <c r="AW22" s="14">
        <v>0.6</v>
      </c>
      <c r="AX22" s="14">
        <v>0.39622641509433965</v>
      </c>
      <c r="AY22" s="14">
        <v>0.25</v>
      </c>
    </row>
    <row r="23" spans="2:57" x14ac:dyDescent="0.25">
      <c r="C23" s="1" t="s">
        <v>17</v>
      </c>
      <c r="D23" s="1" t="s">
        <v>29</v>
      </c>
    </row>
    <row r="24" spans="2:57" x14ac:dyDescent="0.25">
      <c r="C24" s="1" t="s">
        <v>18</v>
      </c>
      <c r="D24" s="1" t="s">
        <v>30</v>
      </c>
      <c r="AP24" s="1" t="s">
        <v>81</v>
      </c>
      <c r="AW24" s="42" t="s">
        <v>82</v>
      </c>
      <c r="AX24" s="42" t="s">
        <v>83</v>
      </c>
      <c r="AY24" s="42" t="s">
        <v>84</v>
      </c>
      <c r="AZ24" s="43">
        <v>7</v>
      </c>
      <c r="BA24" s="43">
        <v>29</v>
      </c>
      <c r="BB24" s="43">
        <v>13</v>
      </c>
      <c r="BC24" s="43">
        <v>42</v>
      </c>
      <c r="BD24" s="43">
        <v>23</v>
      </c>
      <c r="BE24" s="43">
        <v>9</v>
      </c>
    </row>
    <row r="25" spans="2:57" x14ac:dyDescent="0.25">
      <c r="C25" s="40" t="s">
        <v>23</v>
      </c>
      <c r="D25" s="40" t="s">
        <v>31</v>
      </c>
      <c r="E25" s="40"/>
      <c r="AW25" s="14">
        <v>0.30769230769230771</v>
      </c>
      <c r="AX25" s="14">
        <v>0.37931034482758619</v>
      </c>
      <c r="AY25" s="14">
        <v>0.5</v>
      </c>
    </row>
    <row r="26" spans="2:57" x14ac:dyDescent="0.25">
      <c r="C26" s="1" t="s">
        <v>22</v>
      </c>
      <c r="D26" s="1" t="s">
        <v>32</v>
      </c>
    </row>
    <row r="27" spans="2:57" x14ac:dyDescent="0.25">
      <c r="C27" s="1" t="s">
        <v>21</v>
      </c>
      <c r="D27" s="1" t="s">
        <v>33</v>
      </c>
      <c r="AP27" s="1" t="s">
        <v>77</v>
      </c>
      <c r="AW27" s="42" t="s">
        <v>78</v>
      </c>
      <c r="AX27" s="42" t="s">
        <v>79</v>
      </c>
      <c r="AY27" s="42" t="s">
        <v>80</v>
      </c>
      <c r="AZ27" s="43">
        <v>1</v>
      </c>
      <c r="BA27" s="43">
        <v>31</v>
      </c>
      <c r="BB27" s="43">
        <v>5</v>
      </c>
      <c r="BC27" s="43">
        <v>36</v>
      </c>
      <c r="BD27" s="43">
        <v>34</v>
      </c>
      <c r="BE27" s="43">
        <v>10</v>
      </c>
    </row>
    <row r="28" spans="2:57" x14ac:dyDescent="0.25">
      <c r="AW28" s="14">
        <v>0.21428571428571427</v>
      </c>
      <c r="AX28" s="14">
        <v>0.32653061224489793</v>
      </c>
      <c r="AY28" s="14">
        <v>0.44444444444444442</v>
      </c>
    </row>
    <row r="30" spans="2:57" x14ac:dyDescent="0.25">
      <c r="AP30" s="1" t="s">
        <v>70</v>
      </c>
      <c r="AW30" s="42" t="s">
        <v>71</v>
      </c>
      <c r="AX30" s="42" t="s">
        <v>72</v>
      </c>
      <c r="AY30" s="42" t="s">
        <v>73</v>
      </c>
      <c r="AZ30" s="43">
        <v>3</v>
      </c>
      <c r="BA30" s="43">
        <v>31</v>
      </c>
      <c r="BB30" s="43">
        <v>12</v>
      </c>
      <c r="BC30" s="43">
        <v>43</v>
      </c>
      <c r="BD30" s="43">
        <v>26</v>
      </c>
      <c r="BE30" s="43">
        <v>11</v>
      </c>
    </row>
    <row r="31" spans="2:57" x14ac:dyDescent="0.25">
      <c r="AW31" s="14">
        <v>0.23809523809523808</v>
      </c>
      <c r="AX31" s="14">
        <v>0.26315789473684209</v>
      </c>
      <c r="AY31" s="14">
        <v>0.33333333333333331</v>
      </c>
    </row>
    <row r="32" spans="2:57" x14ac:dyDescent="0.25">
      <c r="AG32" s="1" t="s">
        <v>97</v>
      </c>
    </row>
    <row r="33" spans="42:57" x14ac:dyDescent="0.25">
      <c r="AP33" s="1" t="s">
        <v>64</v>
      </c>
      <c r="AW33" s="42" t="s">
        <v>65</v>
      </c>
      <c r="AX33" s="42" t="s">
        <v>66</v>
      </c>
      <c r="AY33" s="42" t="s">
        <v>52</v>
      </c>
      <c r="AZ33" s="43">
        <v>2</v>
      </c>
      <c r="BA33" s="43">
        <v>20</v>
      </c>
      <c r="BB33" s="43">
        <v>10</v>
      </c>
      <c r="BC33" s="43">
        <v>30</v>
      </c>
      <c r="BD33" s="43">
        <v>24</v>
      </c>
      <c r="BE33" s="43">
        <v>3</v>
      </c>
    </row>
    <row r="34" spans="42:57" x14ac:dyDescent="0.25">
      <c r="AW34" s="14">
        <v>0.23076923076923078</v>
      </c>
      <c r="AX34" s="14">
        <v>0.2857142857142857</v>
      </c>
      <c r="AY34" s="14">
        <v>1</v>
      </c>
    </row>
    <row r="36" spans="42:57" x14ac:dyDescent="0.25">
      <c r="AP36" s="1" t="s">
        <v>58</v>
      </c>
      <c r="AW36" s="42" t="s">
        <v>59</v>
      </c>
      <c r="AX36" s="42" t="s">
        <v>60</v>
      </c>
      <c r="AY36" s="42" t="s">
        <v>61</v>
      </c>
      <c r="AZ36" s="43">
        <v>5</v>
      </c>
      <c r="BA36" s="43">
        <v>31</v>
      </c>
      <c r="BB36" s="43">
        <v>8</v>
      </c>
      <c r="BC36" s="43">
        <v>39</v>
      </c>
      <c r="BD36" s="43">
        <v>22</v>
      </c>
      <c r="BE36" s="43">
        <v>6</v>
      </c>
    </row>
    <row r="37" spans="42:57" x14ac:dyDescent="0.25">
      <c r="AW37" s="14">
        <v>0.52631578947368418</v>
      </c>
      <c r="AX37" s="14">
        <v>0.40740740740740738</v>
      </c>
      <c r="AY37" s="14">
        <v>0.5</v>
      </c>
    </row>
    <row r="39" spans="42:57" x14ac:dyDescent="0.25">
      <c r="AP39" s="1" t="s">
        <v>53</v>
      </c>
      <c r="AW39" s="42" t="s">
        <v>49</v>
      </c>
      <c r="AX39" s="42" t="s">
        <v>50</v>
      </c>
      <c r="AY39" s="42" t="s">
        <v>51</v>
      </c>
      <c r="AZ39" s="43">
        <v>5</v>
      </c>
      <c r="BA39" s="43">
        <v>24</v>
      </c>
      <c r="BB39" s="43">
        <v>6</v>
      </c>
      <c r="BC39" s="43">
        <v>30</v>
      </c>
      <c r="BD39" s="43">
        <v>29</v>
      </c>
      <c r="BE39" s="43">
        <v>9</v>
      </c>
    </row>
    <row r="40" spans="42:57" x14ac:dyDescent="0.25">
      <c r="AW40" s="14">
        <v>0.53846153846153844</v>
      </c>
      <c r="AX40" s="14">
        <v>0.33333333333333331</v>
      </c>
      <c r="AY40" s="14">
        <v>0.33333333333333331</v>
      </c>
    </row>
    <row r="42" spans="42:57" x14ac:dyDescent="0.25">
      <c r="AP42" s="1" t="s">
        <v>46</v>
      </c>
      <c r="AW42" s="42" t="str">
        <f>"8/16"</f>
        <v>8/16</v>
      </c>
      <c r="AX42" s="42" t="str">
        <f>"11/38"</f>
        <v>11/38</v>
      </c>
      <c r="AY42" s="42" t="str">
        <f>"1/1"</f>
        <v>1/1</v>
      </c>
      <c r="AZ42" s="43">
        <v>3</v>
      </c>
      <c r="BA42" s="43">
        <v>16</v>
      </c>
      <c r="BB42" s="43">
        <v>7</v>
      </c>
      <c r="BC42" s="43">
        <v>23</v>
      </c>
      <c r="BD42" s="43">
        <v>37</v>
      </c>
      <c r="BE42" s="43">
        <v>18</v>
      </c>
    </row>
    <row r="43" spans="42:57" x14ac:dyDescent="0.25">
      <c r="AW43" s="14">
        <f>8/16</f>
        <v>0.5</v>
      </c>
      <c r="AX43" s="14">
        <f>11/38</f>
        <v>0.28947368421052633</v>
      </c>
      <c r="AY43" s="14">
        <f>1/1</f>
        <v>1</v>
      </c>
    </row>
  </sheetData>
  <mergeCells count="19">
    <mergeCell ref="AM5:AU5"/>
    <mergeCell ref="AD20:AF20"/>
    <mergeCell ref="AG20:AL20"/>
    <mergeCell ref="AV5:BE5"/>
    <mergeCell ref="F19:K19"/>
    <mergeCell ref="O19:T19"/>
    <mergeCell ref="X19:AC19"/>
    <mergeCell ref="AG19:AL19"/>
    <mergeCell ref="L20:N20"/>
    <mergeCell ref="O20:T20"/>
    <mergeCell ref="U20:W20"/>
    <mergeCell ref="X20:AC20"/>
    <mergeCell ref="AP19:AU19"/>
    <mergeCell ref="AD5:AL5"/>
    <mergeCell ref="K2:N2"/>
    <mergeCell ref="W2:X2"/>
    <mergeCell ref="C5:K5"/>
    <mergeCell ref="L5:T5"/>
    <mergeCell ref="U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MATCH VEAUCHE 22102017</vt:lpstr>
      <vt:lpstr>MATCH SGOF 12112017</vt:lpstr>
      <vt:lpstr>MATCH REVERMONT</vt:lpstr>
      <vt:lpstr>MATCH LE COTEAU</vt:lpstr>
      <vt:lpstr>MATCH MEYZIEU</vt:lpstr>
      <vt:lpstr>MATCH VEAUCHE</vt:lpstr>
      <vt:lpstr>MATCH AS MUROISE</vt:lpstr>
      <vt:lpstr>MATCH CTC CENTRE LOIRE</vt:lpstr>
      <vt:lpstr>MATCH CALUIRE</vt:lpstr>
      <vt:lpstr>MATCH LE PUY</vt:lpstr>
      <vt:lpstr>MATCH NEUVILLE</vt:lpstr>
      <vt:lpstr>MATCH MUROISE</vt:lpstr>
      <vt:lpstr>MATCH CTC LOIRE</vt:lpstr>
      <vt:lpstr>MATCH AL CALUIRE</vt:lpstr>
      <vt:lpstr>MATCH LE PUY EN VELAY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2018-04-22T17:42:34Z</dcterms:modified>
</cp:coreProperties>
</file>